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Belly Tank" sheetId="1" r:id="rId1"/>
    <sheet name="Tapered Belly Tank" sheetId="2" r:id="rId2"/>
    <sheet name="Saddle Port Tank" sheetId="3" r:id="rId3"/>
    <sheet name="Tapered Saddle Port Tank" sheetId="4" r:id="rId4"/>
    <sheet name="Rectangular Tank" sheetId="5" r:id="rId5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20" i="2"/>
  <c r="D18" i="5"/>
  <c r="D20" i="4"/>
  <c r="D20" i="3"/>
  <c r="D15" i="5"/>
  <c r="D16" i="5" l="1"/>
  <c r="D13" i="5"/>
  <c r="H17" i="5"/>
  <c r="D18" i="3"/>
  <c r="D17" i="3"/>
  <c r="D15" i="3"/>
  <c r="D18" i="4"/>
  <c r="D15" i="4"/>
  <c r="D17" i="4" s="1"/>
  <c r="H25" i="3"/>
  <c r="H29" i="3" s="1"/>
  <c r="H19" i="3"/>
  <c r="H20" i="3"/>
  <c r="H17" i="3"/>
  <c r="H16" i="3"/>
  <c r="D18" i="2"/>
  <c r="D17" i="2"/>
  <c r="D15" i="2"/>
  <c r="J21" i="2"/>
  <c r="I21" i="2"/>
  <c r="J19" i="2"/>
  <c r="I19" i="2"/>
  <c r="J17" i="2"/>
  <c r="I17" i="2"/>
  <c r="J16" i="2"/>
  <c r="I16" i="2"/>
  <c r="D18" i="1"/>
  <c r="D17" i="1"/>
  <c r="D15" i="1"/>
  <c r="H28" i="1"/>
  <c r="H21" i="1"/>
  <c r="H17" i="1"/>
  <c r="H16" i="1"/>
  <c r="K30" i="4"/>
  <c r="K30" i="2"/>
  <c r="H15" i="5" l="1"/>
  <c r="H14" i="5"/>
  <c r="H13" i="5"/>
  <c r="K25" i="4"/>
  <c r="J25" i="4"/>
  <c r="I25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H30" i="3"/>
  <c r="H18" i="3"/>
  <c r="K25" i="2"/>
  <c r="J25" i="2"/>
  <c r="I25" i="2"/>
  <c r="K21" i="2"/>
  <c r="K20" i="2"/>
  <c r="J20" i="2"/>
  <c r="I20" i="2"/>
  <c r="K19" i="2"/>
  <c r="K18" i="2"/>
  <c r="J18" i="2"/>
  <c r="I18" i="2"/>
  <c r="K17" i="2"/>
  <c r="K16" i="2"/>
  <c r="H24" i="1"/>
  <c r="H29" i="1" s="1"/>
  <c r="H20" i="1"/>
  <c r="H19" i="1"/>
  <c r="H18" i="1"/>
  <c r="H24" i="3" l="1"/>
  <c r="H23" i="1"/>
  <c r="I23" i="4"/>
  <c r="J23" i="4"/>
  <c r="K29" i="4"/>
  <c r="K23" i="4"/>
  <c r="I23" i="2"/>
  <c r="J23" i="2"/>
  <c r="K23" i="2"/>
  <c r="K29" i="2"/>
</calcChain>
</file>

<file path=xl/sharedStrings.xml><?xml version="1.0" encoding="utf-8"?>
<sst xmlns="http://schemas.openxmlformats.org/spreadsheetml/2006/main" count="305" uniqueCount="111">
  <si>
    <t>Belly Tank — Volume Calculator</t>
  </si>
  <si>
    <t>INPUTS  (decimal inches)</t>
  </si>
  <si>
    <t>Dimension</t>
  </si>
  <si>
    <t>Symbol</t>
  </si>
  <si>
    <t>Value (in)</t>
  </si>
  <si>
    <t>Top Width</t>
  </si>
  <si>
    <t>W</t>
  </si>
  <si>
    <t>Bottom Width</t>
  </si>
  <si>
    <t>W2</t>
  </si>
  <si>
    <t>Full Height (left side)</t>
  </si>
  <si>
    <t>H2</t>
  </si>
  <si>
    <t>Right Side Height</t>
  </si>
  <si>
    <t>H1</t>
  </si>
  <si>
    <t>Lc</t>
  </si>
  <si>
    <t>DERIVED GEOMETRY</t>
  </si>
  <si>
    <t>Segment</t>
  </si>
  <si>
    <t>Length (in)</t>
  </si>
  <si>
    <t>Top edge</t>
  </si>
  <si>
    <t>Right side</t>
  </si>
  <si>
    <t>Bottom-R diag</t>
  </si>
  <si>
    <t>d_BR</t>
  </si>
  <si>
    <t>Bottom edge</t>
  </si>
  <si>
    <t>Bottom-L diag</t>
  </si>
  <si>
    <t>d_BL</t>
  </si>
  <si>
    <t>Left side</t>
  </si>
  <si>
    <t>RESULTS</t>
  </si>
  <si>
    <t>Perimeter (6 edges)</t>
  </si>
  <si>
    <t>P</t>
  </si>
  <si>
    <t>A</t>
  </si>
  <si>
    <t>in  |  in²</t>
  </si>
  <si>
    <t>VOLUME</t>
  </si>
  <si>
    <t>Volume (cubic inches)</t>
  </si>
  <si>
    <t>A × Lc</t>
  </si>
  <si>
    <t>Volume (US gallons)</t>
  </si>
  <si>
    <t>in³ ÷ 231</t>
  </si>
  <si>
    <t>in³  |  US gal</t>
  </si>
  <si>
    <t>ASSUMPTIONS &amp; NOTES</t>
  </si>
  <si>
    <t>• Cross-section is a 6-sided polygon: flat top (W), vertical sides (H1 right, H2 left), flat bottom (W2), two symmetric diagonal chamfers.</t>
  </si>
  <si>
    <t>• Chamfers are symmetric: horizontal run = (W − W2) / 2 on each side. Vertical drop = H2 − H1.</t>
  </si>
  <si>
    <t>• Face area = W × H2 − ((W − W2)/2) × (H2 − H1)  [bounding rectangle minus two corner triangles].</t>
  </si>
  <si>
    <t>• Volume = Face Area × Lc. Lc is the centerline length (horizontal axis of tank).</t>
  </si>
  <si>
    <t>• 1 US gallon = 231 cubic inches (exact, per NIST). All inputs in decimal inches.</t>
  </si>
  <si>
    <t>Tapered Belly Tank — Volume Calculator</t>
  </si>
  <si>
    <t>FWD Value</t>
  </si>
  <si>
    <t>AFT Value</t>
  </si>
  <si>
    <t>FWD (forward)</t>
  </si>
  <si>
    <t>AFT (aft)</t>
  </si>
  <si>
    <t>Sym</t>
  </si>
  <si>
    <t>FWD</t>
  </si>
  <si>
    <t>AFT</t>
  </si>
  <si>
    <t>MID (avg)</t>
  </si>
  <si>
    <t>Bot-R diag</t>
  </si>
  <si>
    <t>Bot-L diag</t>
  </si>
  <si>
    <t>in</t>
  </si>
  <si>
    <t>in²</t>
  </si>
  <si>
    <t>VOLUME  (Prismatoid Formula)</t>
  </si>
  <si>
    <t>(Lc/6) × (Aₙᵠᵈ + Aₐᶠᵗ + 4×Aᵐᴵᴰ)</t>
  </si>
  <si>
    <t>• FWD = forward (front) face; AFT = aft (rear) face. FWD is the larger cross-section.</t>
  </si>
  <si>
    <t>• Top surface is always level. AFT sits lower due to its smaller H2.</t>
  </si>
  <si>
    <t>• Chamfers are symmetric on each face independently: horizontal run = (W − W2) / 2; vertical drop = H2 − H1.</t>
  </si>
  <si>
    <t>• MID column = cross-section at the midpoint, computed from the average of each FWD/AFT dimension pair.</t>
  </si>
  <si>
    <t>• Volume uses the Prismatoid Formula: V = (Lc/6) × (A_fwd + A_aft + 4 × A_mid). Exact for linear tapers.</t>
  </si>
  <si>
    <t>• Lc is the centerline length measured along the tank’s horizontal axis, not along any tapered edge.</t>
  </si>
  <si>
    <t>ℹ  NOTE: A Starboard (Stbd.) tank is a mirror image of this Port tank. All dimensions and volumes are identical.</t>
  </si>
  <si>
    <t>Top Width (port half)</t>
  </si>
  <si>
    <t>Wₚ</t>
  </si>
  <si>
    <t>Bottom Width (port half)</t>
  </si>
  <si>
    <t>W2ₚ</t>
  </si>
  <si>
    <t>Flat cut face</t>
  </si>
  <si>
    <t>Perimeter (5 edges)</t>
  </si>
  <si>
    <t>• The Port tank is the port (left) half of a belly tank, cut vertically along the width centerline.</t>
  </si>
  <si>
    <t>• Cross-section is a 5-sided polygon (pentagon): flat top (Wₚ), right side (H1), one diagonal chamfer, flat bottom (W2ₚ), vertical flat cut face (H2).</t>
  </si>
  <si>
    <t>• Only ONE chamfer (starboard side). Chamfer run = Wₚ − W2ₚ; vertical drop = H2 − H1.</t>
  </si>
  <si>
    <t>• Face area = Wₚ × H2 − (Wₚ − W2ₚ) × (H2 − H1) / 2  [rectangle minus one corner triangle].</t>
  </si>
  <si>
    <t>• A Starboard (Stbd.) tank is a mirror image of this Port tank — all dimensions and volumes are identical.</t>
  </si>
  <si>
    <t>• Volume = Face Area × Lc. Lc is measured along the centerline axis.</t>
  </si>
  <si>
    <t>• The Tapered Port tank has a larger FWD pentagonal face and a smaller AFT pentagonal face, tapering linearly over Lc.</t>
  </si>
  <si>
    <t>• Each face is a 5-sided polygon: flat top (Wₚ), right side (H1), one diagonal chamfer (starboard), flat bottom (W2ₚ), vertical flat cut face (H2).</t>
  </si>
  <si>
    <t>• Only ONE chamfer per face (starboard side). Chamfer run = Wₚ − W2ₚ; drop = H2 − H1.</t>
  </si>
  <si>
    <t>• MID column = cross-section at midpoint, from the average of each FWD/AFT dimension pair.</t>
  </si>
  <si>
    <t>• A Starboard (Stbd.) tank is a mirror image — all dimensions and volumes are identical.</t>
  </si>
  <si>
    <t>• Lc is measured along the horizontal centerline axis. 1 US gallon = 231 in³ (NIST). Inputs in decimal inches.</t>
  </si>
  <si>
    <t>Rectangular Tank — Volume Calculator</t>
  </si>
  <si>
    <t>Length</t>
  </si>
  <si>
    <t>L</t>
  </si>
  <si>
    <t>Width</t>
  </si>
  <si>
    <t>Height</t>
  </si>
  <si>
    <t>H</t>
  </si>
  <si>
    <t>Surface Area (all 6 faces)</t>
  </si>
  <si>
    <t>SA</t>
  </si>
  <si>
    <t>V</t>
  </si>
  <si>
    <t>in²  |  in³  |  US gal</t>
  </si>
  <si>
    <t>• Pure rectangular box with 6 flat faces. No chamfers or tapers.</t>
  </si>
  <si>
    <t>• Surface area includes all 6 faces: 2×(L×W) + 2×(L×H) + 2×(W×H).</t>
  </si>
  <si>
    <t>• Volume = L × W × H.</t>
  </si>
  <si>
    <t>Centerline Length (LOA)</t>
  </si>
  <si>
    <t>Saddle (Port) Tank — Volume Calculator</t>
  </si>
  <si>
    <t>Tapered Saddle (Port) Tank — Volume Calculator</t>
  </si>
  <si>
    <t>Tank Wall Thickness</t>
  </si>
  <si>
    <t>Thck.</t>
  </si>
  <si>
    <t>US gal</t>
  </si>
  <si>
    <t>Gallons Per 1 inch vertical travel</t>
  </si>
  <si>
    <t>Rated Capacity</t>
  </si>
  <si>
    <t>(EPA Adjusted for 5% Expansion)</t>
  </si>
  <si>
    <t>Ullage/Vapor Space Required</t>
  </si>
  <si>
    <t>Top Surface Area</t>
  </si>
  <si>
    <t>Inches</t>
  </si>
  <si>
    <t>LxW</t>
  </si>
  <si>
    <t>INPUT RED DATA ONLY</t>
  </si>
  <si>
    <t>https://www.chrisjbrownllc.com/</t>
  </si>
  <si>
    <t>Inches of space needed (this tank)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</si>
</sst>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5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b/>
      <i/>
      <sz val="10"/>
      <color rgb="FF000000"/>
      <name val="Arial"/>
      <charset val="1"/>
    </font>
    <font>
      <b/>
      <sz val="10"/>
      <color rgb="FF1A5276"/>
      <name val="Arial"/>
      <charset val="1"/>
    </font>
    <font>
      <b/>
      <sz val="10"/>
      <color rgb="FF7B3F00"/>
      <name val="Arial"/>
      <charset val="1"/>
    </font>
    <font>
      <b/>
      <i/>
      <sz val="10"/>
      <color rgb="FF7B3F00"/>
      <name val="Arial"/>
      <charset val="1"/>
    </font>
    <font>
      <b/>
      <sz val="11"/>
      <color rgb="FF7B3F00"/>
      <name val="Arial"/>
      <charset val="1"/>
    </font>
    <font>
      <sz val="8"/>
      <color rgb="FF888888"/>
      <name val="Arial"/>
      <charset val="1"/>
    </font>
    <font>
      <i/>
      <sz val="9"/>
      <color rgb="FF555555"/>
      <name val="Arial"/>
      <charset val="1"/>
    </font>
    <font>
      <b/>
      <sz val="9"/>
      <color rgb="FFFFFFFF"/>
      <name val="Arial"/>
      <charset val="1"/>
    </font>
    <font>
      <sz val="9"/>
      <color rgb="FF333333"/>
      <name val="Arial"/>
      <charset val="1"/>
    </font>
    <font>
      <b/>
      <sz val="9"/>
      <color rgb="FF1A5276"/>
      <name val="Arial"/>
      <charset val="1"/>
    </font>
    <font>
      <b/>
      <sz val="9"/>
      <color rgb="FF145A32"/>
      <name val="Arial"/>
      <charset val="1"/>
    </font>
    <font>
      <b/>
      <sz val="10"/>
      <color rgb="FF145A32"/>
      <name val="Arial"/>
      <charset val="1"/>
    </font>
    <font>
      <b/>
      <sz val="10"/>
      <color rgb="FF6C3483"/>
      <name val="Arial"/>
      <charset val="1"/>
    </font>
    <font>
      <b/>
      <sz val="11"/>
      <color rgb="FF1A5276"/>
      <name val="Arial"/>
      <charset val="1"/>
    </font>
    <font>
      <b/>
      <sz val="11"/>
      <color rgb="FF145A32"/>
      <name val="Arial"/>
      <charset val="1"/>
    </font>
    <font>
      <b/>
      <sz val="11"/>
      <color rgb="FF6C3483"/>
      <name val="Arial"/>
      <charset val="1"/>
    </font>
    <font>
      <b/>
      <sz val="10"/>
      <color rgb="FF7D6608"/>
      <name val="Arial"/>
      <charset val="1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FF0000"/>
      <name val="Calibri"/>
      <family val="2"/>
    </font>
    <font>
      <sz val="8"/>
      <color rgb="FF888888"/>
      <name val="Arial"/>
      <family val="2"/>
    </font>
    <font>
      <sz val="10"/>
      <color theme="0" tint="-0.499984740745262"/>
      <name val="Calibri"/>
      <family val="2"/>
      <charset val="1"/>
    </font>
    <font>
      <sz val="8"/>
      <color theme="1"/>
      <name val="Calibri"/>
      <family val="2"/>
      <charset val="1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  <charset val="1"/>
    </font>
    <font>
      <b/>
      <sz val="11"/>
      <color theme="4" tint="-0.249977111117893"/>
      <name val="Calibri"/>
      <family val="2"/>
      <charset val="1"/>
    </font>
    <font>
      <b/>
      <i/>
      <sz val="11"/>
      <color theme="4" tint="-0.249977111117893"/>
      <name val="Calibri"/>
      <family val="2"/>
    </font>
    <font>
      <b/>
      <sz val="10"/>
      <color rgb="FF7B3F00"/>
      <name val="Arial"/>
      <family val="2"/>
    </font>
    <font>
      <b/>
      <i/>
      <sz val="10"/>
      <color rgb="FF7B3F00"/>
      <name val="Arial"/>
      <family val="2"/>
    </font>
    <font>
      <b/>
      <sz val="10"/>
      <color theme="4" tint="-0.499984740745262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sz val="11"/>
      <color theme="0"/>
      <name val="Calibri"/>
      <family val="2"/>
      <charset val="1"/>
    </font>
    <font>
      <b/>
      <sz val="18"/>
      <color theme="0"/>
      <name val="Calibri"/>
      <family val="2"/>
    </font>
    <font>
      <sz val="10"/>
      <color theme="0"/>
      <name val="Calibri"/>
      <family val="2"/>
      <charset val="1"/>
    </font>
    <font>
      <b/>
      <sz val="16"/>
      <color theme="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3D3D3"/>
        <bgColor rgb="FFEDE0F5"/>
      </patternFill>
    </fill>
    <fill>
      <patternFill patternType="solid">
        <fgColor rgb="FFF2F2F2"/>
        <bgColor rgb="FFF0E6FF"/>
      </patternFill>
    </fill>
    <fill>
      <patternFill patternType="solid">
        <fgColor rgb="FFD6EAF8"/>
        <bgColor rgb="FFD5F5E3"/>
      </patternFill>
    </fill>
    <fill>
      <patternFill patternType="solid">
        <fgColor rgb="FF7B3F00"/>
        <bgColor rgb="FF922B21"/>
      </patternFill>
    </fill>
    <fill>
      <patternFill patternType="solid">
        <fgColor rgb="FFFFF2CC"/>
        <bgColor rgb="FFFDEBD0"/>
      </patternFill>
    </fill>
    <fill>
      <patternFill patternType="solid">
        <fgColor rgb="FF4472C4"/>
        <bgColor rgb="FF777777"/>
      </patternFill>
    </fill>
    <fill>
      <patternFill patternType="solid">
        <fgColor rgb="FFFFFFFF"/>
        <bgColor rgb="FFF2F2F2"/>
      </patternFill>
    </fill>
    <fill>
      <patternFill patternType="solid">
        <fgColor rgb="FFD5F5E3"/>
        <bgColor rgb="FFD6EAF8"/>
      </patternFill>
    </fill>
    <fill>
      <patternFill patternType="solid">
        <fgColor rgb="FFF0E6FF"/>
        <bgColor rgb="FFEDE0F5"/>
      </patternFill>
    </fill>
    <fill>
      <patternFill patternType="solid">
        <fgColor rgb="FFFDEBD0"/>
        <bgColor rgb="FFFFF2CC"/>
      </patternFill>
    </fill>
    <fill>
      <patternFill patternType="solid">
        <fgColor rgb="FFEDE0F5"/>
        <bgColor rgb="FFF0E6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rgb="FFD5F5E3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rgb="FF777777"/>
      </left>
      <right/>
      <top style="medium">
        <color rgb="FF777777"/>
      </top>
      <bottom style="medium">
        <color rgb="FF777777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medium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theme="0" tint="-0.34998626667073579"/>
      </top>
      <bottom style="thin">
        <color rgb="FFAAAAAA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14" fillId="5" borderId="3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164" fontId="16" fillId="10" borderId="3" xfId="0" applyNumberFormat="1" applyFont="1" applyFill="1" applyBorder="1" applyAlignment="1">
      <alignment horizontal="center" vertical="center" wrapText="1"/>
    </xf>
    <xf numFmtId="164" fontId="17" fillId="11" borderId="3" xfId="0" applyNumberFormat="1" applyFont="1" applyFill="1" applyBorder="1" applyAlignment="1">
      <alignment horizontal="center" vertical="center" wrapText="1"/>
    </xf>
    <xf numFmtId="164" fontId="18" fillId="7" borderId="4" xfId="0" applyNumberFormat="1" applyFont="1" applyFill="1" applyBorder="1" applyAlignment="1">
      <alignment horizontal="center" vertical="center" wrapText="1"/>
    </xf>
    <xf numFmtId="164" fontId="19" fillId="7" borderId="4" xfId="0" applyNumberFormat="1" applyFont="1" applyFill="1" applyBorder="1" applyAlignment="1">
      <alignment horizontal="center" vertical="center" wrapText="1"/>
    </xf>
    <xf numFmtId="164" fontId="20" fillId="7" borderId="4" xfId="0" applyNumberFormat="1" applyFont="1" applyFill="1" applyBorder="1" applyAlignment="1">
      <alignment horizontal="center" vertical="center" wrapText="1"/>
    </xf>
    <xf numFmtId="164" fontId="22" fillId="5" borderId="3" xfId="0" applyNumberFormat="1" applyFont="1" applyFill="1" applyBorder="1" applyAlignment="1">
      <alignment horizontal="center" vertical="center" wrapText="1"/>
    </xf>
    <xf numFmtId="164" fontId="22" fillId="10" borderId="3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164" fontId="22" fillId="13" borderId="3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/>
    </xf>
    <xf numFmtId="0" fontId="30" fillId="15" borderId="5" xfId="0" applyFont="1" applyFill="1" applyBorder="1" applyAlignment="1">
      <alignment horizontal="right"/>
    </xf>
    <xf numFmtId="0" fontId="31" fillId="15" borderId="5" xfId="0" applyFont="1" applyFill="1" applyBorder="1"/>
    <xf numFmtId="2" fontId="32" fillId="15" borderId="5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22" fillId="5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4" fontId="22" fillId="5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24" fillId="4" borderId="14" xfId="0" applyFont="1" applyFill="1" applyBorder="1" applyAlignment="1">
      <alignment horizontal="left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top"/>
    </xf>
    <xf numFmtId="2" fontId="34" fillId="14" borderId="13" xfId="0" applyNumberFormat="1" applyFont="1" applyFill="1" applyBorder="1" applyAlignment="1">
      <alignment horizontal="center"/>
    </xf>
    <xf numFmtId="2" fontId="35" fillId="14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164" fontId="22" fillId="16" borderId="13" xfId="0" applyNumberFormat="1" applyFont="1" applyFill="1" applyBorder="1" applyAlignment="1">
      <alignment horizontal="center" vertical="center" wrapText="1"/>
    </xf>
    <xf numFmtId="2" fontId="37" fillId="7" borderId="4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right" vertical="top"/>
    </xf>
    <xf numFmtId="0" fontId="0" fillId="0" borderId="6" xfId="0" applyBorder="1"/>
    <xf numFmtId="164" fontId="28" fillId="0" borderId="6" xfId="0" applyNumberFormat="1" applyFont="1" applyBorder="1" applyAlignment="1">
      <alignment horizontal="center" vertical="top"/>
    </xf>
    <xf numFmtId="0" fontId="33" fillId="14" borderId="13" xfId="0" applyFont="1" applyFill="1" applyBorder="1"/>
    <xf numFmtId="0" fontId="28" fillId="0" borderId="13" xfId="0" applyFont="1" applyBorder="1" applyAlignment="1">
      <alignment horizontal="center"/>
    </xf>
    <xf numFmtId="164" fontId="38" fillId="14" borderId="13" xfId="0" applyNumberFormat="1" applyFont="1" applyFill="1" applyBorder="1" applyAlignment="1">
      <alignment horizontal="center"/>
    </xf>
    <xf numFmtId="0" fontId="28" fillId="0" borderId="6" xfId="0" applyFont="1" applyBorder="1" applyAlignment="1">
      <alignment horizontal="center" vertical="top"/>
    </xf>
    <xf numFmtId="0" fontId="0" fillId="0" borderId="17" xfId="0" applyBorder="1"/>
    <xf numFmtId="0" fontId="0" fillId="0" borderId="18" xfId="0" applyBorder="1"/>
    <xf numFmtId="0" fontId="26" fillId="0" borderId="0" xfId="0" applyFont="1"/>
    <xf numFmtId="0" fontId="13" fillId="9" borderId="2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64" fontId="22" fillId="11" borderId="2" xfId="0" applyNumberFormat="1" applyFont="1" applyFill="1" applyBorder="1" applyAlignment="1">
      <alignment horizontal="center" vertical="center" wrapText="1"/>
    </xf>
    <xf numFmtId="164" fontId="22" fillId="11" borderId="15" xfId="0" applyNumberFormat="1" applyFont="1" applyFill="1" applyBorder="1" applyAlignment="1">
      <alignment horizontal="center" vertical="center" wrapText="1"/>
    </xf>
    <xf numFmtId="164" fontId="22" fillId="11" borderId="16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wrapText="1"/>
    </xf>
    <xf numFmtId="2" fontId="37" fillId="0" borderId="0" xfId="0" applyNumberFormat="1" applyFont="1" applyFill="1" applyBorder="1" applyAlignment="1">
      <alignment horizontal="center" vertical="center" wrapText="1"/>
    </xf>
    <xf numFmtId="2" fontId="40" fillId="17" borderId="0" xfId="0" applyNumberFormat="1" applyFont="1" applyFill="1" applyAlignment="1">
      <alignment horizontal="center"/>
    </xf>
    <xf numFmtId="0" fontId="41" fillId="17" borderId="0" xfId="0" applyFont="1" applyFill="1"/>
    <xf numFmtId="0" fontId="39" fillId="17" borderId="0" xfId="0" applyFont="1" applyFill="1"/>
    <xf numFmtId="2" fontId="42" fillId="17" borderId="0" xfId="0" applyNumberFormat="1" applyFont="1" applyFill="1" applyAlignment="1">
      <alignment horizontal="center"/>
    </xf>
    <xf numFmtId="0" fontId="43" fillId="17" borderId="13" xfId="0" applyFont="1" applyFill="1" applyBorder="1" applyAlignment="1">
      <alignment horizontal="center"/>
    </xf>
    <xf numFmtId="2" fontId="44" fillId="17" borderId="0" xfId="0" applyNumberFormat="1" applyFont="1" applyFill="1" applyAlignment="1">
      <alignment horizontal="center"/>
    </xf>
    <xf numFmtId="2" fontId="40" fillId="15" borderId="5" xfId="0" applyNumberFormat="1" applyFont="1" applyFill="1" applyBorder="1" applyAlignment="1">
      <alignment horizontal="center"/>
    </xf>
    <xf numFmtId="2" fontId="40" fillId="15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B241C"/>
      <rgbColor rgb="FF145A32"/>
      <rgbColor rgb="FF000080"/>
      <rgbColor rgb="FF7D6608"/>
      <rgbColor rgb="FF800080"/>
      <rgbColor rgb="FF117864"/>
      <rgbColor rgb="FFF0E6FF"/>
      <rgbColor rgb="FF888888"/>
      <rgbColor rgb="FF9999FF"/>
      <rgbColor rgb="FF7D3C98"/>
      <rgbColor rgb="FFFFF2CC"/>
      <rgbColor rgb="FFD6EAF8"/>
      <rgbColor rgb="FF660066"/>
      <rgbColor rgb="FFFF8080"/>
      <rgbColor rgb="FF1A5276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5F5E3"/>
      <rgbColor rgb="FFFDEBD0"/>
      <rgbColor rgb="FF99CCFF"/>
      <rgbColor rgb="FFFF99CC"/>
      <rgbColor rgb="FFCC99FF"/>
      <rgbColor rgb="FFEDE0F5"/>
      <rgbColor rgb="FF4472C4"/>
      <rgbColor rgb="FF33CCCC"/>
      <rgbColor rgb="FF99CC00"/>
      <rgbColor rgb="FFFFCC00"/>
      <rgbColor rgb="FFFF9900"/>
      <rgbColor rgb="FFFF6600"/>
      <rgbColor rgb="FF777777"/>
      <rgbColor rgb="FFAAAAAA"/>
      <rgbColor rgb="FF1F3864"/>
      <rgbColor rgb="FF555555"/>
      <rgbColor rgb="FF003300"/>
      <rgbColor rgb="FF7B3F00"/>
      <rgbColor rgb="FF922B21"/>
      <rgbColor rgb="FF6C3483"/>
      <rgbColor rgb="FF4A235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85725</xdr:rowOff>
    </xdr:from>
    <xdr:to>
      <xdr:col>7</xdr:col>
      <xdr:colOff>895350</xdr:colOff>
      <xdr:row>12</xdr:row>
      <xdr:rowOff>55715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638175"/>
          <a:ext cx="3505200" cy="21607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27</xdr:row>
      <xdr:rowOff>59214</xdr:rowOff>
    </xdr:from>
    <xdr:to>
      <xdr:col>1</xdr:col>
      <xdr:colOff>1400175</xdr:colOff>
      <xdr:row>29</xdr:row>
      <xdr:rowOff>9524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012339"/>
          <a:ext cx="1095375" cy="50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2</xdr:row>
      <xdr:rowOff>76200</xdr:rowOff>
    </xdr:from>
    <xdr:to>
      <xdr:col>10</xdr:col>
      <xdr:colOff>561975</xdr:colOff>
      <xdr:row>12</xdr:row>
      <xdr:rowOff>53135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28650"/>
          <a:ext cx="4419600" cy="21772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3</xdr:row>
      <xdr:rowOff>10764</xdr:rowOff>
    </xdr:from>
    <xdr:to>
      <xdr:col>7</xdr:col>
      <xdr:colOff>885824</xdr:colOff>
      <xdr:row>12</xdr:row>
      <xdr:rowOff>39812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915639"/>
          <a:ext cx="3428999" cy="21245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3</xdr:row>
      <xdr:rowOff>76200</xdr:rowOff>
    </xdr:from>
    <xdr:to>
      <xdr:col>10</xdr:col>
      <xdr:colOff>47182</xdr:colOff>
      <xdr:row>12</xdr:row>
      <xdr:rowOff>68381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981075"/>
          <a:ext cx="3676207" cy="20972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</xdr:row>
      <xdr:rowOff>47625</xdr:rowOff>
    </xdr:from>
    <xdr:to>
      <xdr:col>7</xdr:col>
      <xdr:colOff>857250</xdr:colOff>
      <xdr:row>10</xdr:row>
      <xdr:rowOff>4976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600075"/>
          <a:ext cx="3381375" cy="1652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5276"/>
  </sheetPr>
  <dimension ref="B1:H37"/>
  <sheetViews>
    <sheetView tabSelected="1" zoomScaleNormal="100" workbookViewId="0">
      <selection activeCell="P34" sqref="P34"/>
    </sheetView>
  </sheetViews>
  <sheetFormatPr defaultColWidth="8.7109375" defaultRowHeight="15" x14ac:dyDescent="0.25"/>
  <cols>
    <col min="1" max="1" width="3" customWidth="1"/>
    <col min="2" max="2" width="32.28515625" customWidth="1"/>
    <col min="3" max="3" width="9" customWidth="1"/>
    <col min="4" max="4" width="16" customWidth="1"/>
    <col min="5" max="5" width="3" customWidth="1"/>
    <col min="6" max="6" width="28" customWidth="1"/>
    <col min="7" max="7" width="12" customWidth="1"/>
    <col min="8" max="8" width="16" customWidth="1"/>
    <col min="9" max="9" width="3" customWidth="1"/>
  </cols>
  <sheetData>
    <row r="1" spans="2:8" ht="7.5" customHeight="1" x14ac:dyDescent="0.25"/>
    <row r="2" spans="2:8" ht="36" customHeight="1" x14ac:dyDescent="0.25">
      <c r="B2" s="59" t="s">
        <v>0</v>
      </c>
      <c r="C2" s="59"/>
      <c r="D2" s="59"/>
      <c r="E2" s="59"/>
      <c r="F2" s="59"/>
      <c r="G2" s="59"/>
      <c r="H2" s="59"/>
    </row>
    <row r="3" spans="2:8" ht="7.5" customHeight="1" x14ac:dyDescent="0.25"/>
    <row r="4" spans="2:8" ht="19.5" customHeight="1" x14ac:dyDescent="0.25">
      <c r="B4" s="60" t="s">
        <v>1</v>
      </c>
      <c r="C4" s="60"/>
      <c r="D4" s="60"/>
    </row>
    <row r="5" spans="2:8" ht="18" customHeight="1" x14ac:dyDescent="0.25">
      <c r="B5" s="1" t="s">
        <v>2</v>
      </c>
      <c r="C5" s="1" t="s">
        <v>3</v>
      </c>
      <c r="D5" s="1" t="s">
        <v>4</v>
      </c>
    </row>
    <row r="7" spans="2:8" ht="19.5" customHeight="1" x14ac:dyDescent="0.25">
      <c r="B7" s="2" t="s">
        <v>5</v>
      </c>
      <c r="C7" s="3" t="s">
        <v>6</v>
      </c>
      <c r="D7" s="18">
        <v>24</v>
      </c>
    </row>
    <row r="8" spans="2:8" ht="19.5" customHeight="1" x14ac:dyDescent="0.25">
      <c r="B8" s="2" t="s">
        <v>7</v>
      </c>
      <c r="C8" s="3" t="s">
        <v>8</v>
      </c>
      <c r="D8" s="18">
        <v>9</v>
      </c>
    </row>
    <row r="9" spans="2:8" ht="19.5" customHeight="1" x14ac:dyDescent="0.25">
      <c r="B9" s="2" t="s">
        <v>9</v>
      </c>
      <c r="C9" s="3" t="s">
        <v>10</v>
      </c>
      <c r="D9" s="18">
        <v>22</v>
      </c>
    </row>
    <row r="10" spans="2:8" ht="19.5" customHeight="1" x14ac:dyDescent="0.25">
      <c r="B10" s="2" t="s">
        <v>11</v>
      </c>
      <c r="C10" s="3" t="s">
        <v>12</v>
      </c>
      <c r="D10" s="18">
        <v>11</v>
      </c>
    </row>
    <row r="11" spans="2:8" ht="19.5" customHeight="1" x14ac:dyDescent="0.25">
      <c r="B11" s="29" t="s">
        <v>95</v>
      </c>
      <c r="C11" s="30" t="s">
        <v>13</v>
      </c>
      <c r="D11" s="31">
        <v>45</v>
      </c>
    </row>
    <row r="12" spans="2:8" x14ac:dyDescent="0.25">
      <c r="B12" s="36" t="s">
        <v>98</v>
      </c>
      <c r="C12" s="37" t="s">
        <v>99</v>
      </c>
      <c r="D12" s="33">
        <v>0.25</v>
      </c>
      <c r="E12" s="34"/>
    </row>
    <row r="13" spans="2:8" ht="7.5" customHeight="1" x14ac:dyDescent="0.25">
      <c r="C13" s="35"/>
      <c r="D13" s="32"/>
    </row>
    <row r="14" spans="2:8" ht="19.5" customHeight="1" x14ac:dyDescent="0.25">
      <c r="B14" s="23"/>
      <c r="D14" s="25" t="s">
        <v>100</v>
      </c>
      <c r="F14" s="60" t="s">
        <v>14</v>
      </c>
      <c r="G14" s="60"/>
      <c r="H14" s="60"/>
    </row>
    <row r="15" spans="2:8" ht="18" customHeight="1" x14ac:dyDescent="0.35">
      <c r="B15" s="26" t="s">
        <v>102</v>
      </c>
      <c r="C15" s="27"/>
      <c r="D15" s="77">
        <f>H29*95%</f>
        <v>82.4443722943723</v>
      </c>
      <c r="F15" s="1" t="s">
        <v>15</v>
      </c>
      <c r="G15" s="1" t="s">
        <v>3</v>
      </c>
      <c r="H15" s="1" t="s">
        <v>16</v>
      </c>
    </row>
    <row r="16" spans="2:8" ht="19.5" customHeight="1" x14ac:dyDescent="0.25">
      <c r="B16" s="47" t="s">
        <v>103</v>
      </c>
      <c r="C16" s="48"/>
      <c r="D16" s="53"/>
      <c r="F16" s="2" t="s">
        <v>17</v>
      </c>
      <c r="G16" s="3" t="s">
        <v>6</v>
      </c>
      <c r="H16" s="4">
        <f>D7-(D12*2)</f>
        <v>23.5</v>
      </c>
    </row>
    <row r="17" spans="2:8" ht="19.5" customHeight="1" x14ac:dyDescent="0.25">
      <c r="B17" s="50" t="s">
        <v>104</v>
      </c>
      <c r="C17" s="51" t="s">
        <v>100</v>
      </c>
      <c r="D17" s="40">
        <f>H29-D15</f>
        <v>4.3391774891774872</v>
      </c>
      <c r="F17" s="2" t="s">
        <v>18</v>
      </c>
      <c r="G17" s="3" t="s">
        <v>12</v>
      </c>
      <c r="H17" s="4">
        <f>D10-D12</f>
        <v>10.75</v>
      </c>
    </row>
    <row r="18" spans="2:8" ht="19.5" customHeight="1" x14ac:dyDescent="0.25">
      <c r="B18" s="50" t="s">
        <v>101</v>
      </c>
      <c r="C18" s="51" t="s">
        <v>106</v>
      </c>
      <c r="D18" s="40">
        <f>((D7-D12*2)*(D11-D12*2)*1)/231</f>
        <v>4.5270562770562774</v>
      </c>
      <c r="F18" s="2" t="s">
        <v>19</v>
      </c>
      <c r="G18" s="3" t="s">
        <v>20</v>
      </c>
      <c r="H18" s="4">
        <f>SQRT(((D7-D8)/2)^2+(D9-D10)^2)</f>
        <v>13.313526955694348</v>
      </c>
    </row>
    <row r="19" spans="2:8" ht="19.5" customHeight="1" x14ac:dyDescent="0.25">
      <c r="D19" s="39"/>
      <c r="F19" s="2" t="s">
        <v>21</v>
      </c>
      <c r="G19" s="3" t="s">
        <v>8</v>
      </c>
      <c r="H19" s="4">
        <f>D8</f>
        <v>9</v>
      </c>
    </row>
    <row r="20" spans="2:8" ht="19.5" customHeight="1" x14ac:dyDescent="0.35">
      <c r="B20" s="73" t="s">
        <v>110</v>
      </c>
      <c r="C20" s="75" t="s">
        <v>106</v>
      </c>
      <c r="D20" s="71">
        <f>D17/D18</f>
        <v>0.95849868515419501</v>
      </c>
      <c r="F20" s="2" t="s">
        <v>22</v>
      </c>
      <c r="G20" s="3" t="s">
        <v>23</v>
      </c>
      <c r="H20" s="4">
        <f>SQRT(((D7-D8)/2)^2+(D9-D10)^2)</f>
        <v>13.313526955694348</v>
      </c>
    </row>
    <row r="21" spans="2:8" ht="19.5" customHeight="1" thickBot="1" x14ac:dyDescent="0.3">
      <c r="B21" s="56" t="s">
        <v>108</v>
      </c>
      <c r="F21" s="2" t="s">
        <v>24</v>
      </c>
      <c r="G21" s="3" t="s">
        <v>10</v>
      </c>
      <c r="H21" s="4">
        <f>D9-(D12*2)</f>
        <v>21.5</v>
      </c>
    </row>
    <row r="22" spans="2:8" ht="7.5" customHeight="1" thickBot="1" x14ac:dyDescent="0.3">
      <c r="F22" s="61" t="s">
        <v>25</v>
      </c>
      <c r="G22" s="61"/>
      <c r="H22" s="61"/>
    </row>
    <row r="23" spans="2:8" ht="21.75" customHeight="1" x14ac:dyDescent="0.25">
      <c r="F23" s="5" t="s">
        <v>26</v>
      </c>
      <c r="G23" s="6" t="s">
        <v>27</v>
      </c>
      <c r="H23" s="7">
        <f>SUM(H16:H21)</f>
        <v>91.3770539113887</v>
      </c>
    </row>
    <row r="24" spans="2:8" ht="21.75" customHeight="1" thickBot="1" x14ac:dyDescent="0.3">
      <c r="F24" s="38" t="s">
        <v>105</v>
      </c>
      <c r="G24" s="6" t="s">
        <v>28</v>
      </c>
      <c r="H24" s="7">
        <f>D7*D9-((D7-D8)/2)*(D9-D10)</f>
        <v>445.5</v>
      </c>
    </row>
    <row r="25" spans="2:8" ht="12.75" customHeight="1" x14ac:dyDescent="0.25">
      <c r="H25" s="8" t="s">
        <v>29</v>
      </c>
    </row>
    <row r="26" spans="2:8" ht="7.5" customHeight="1" thickBot="1" x14ac:dyDescent="0.3"/>
    <row r="27" spans="2:8" ht="19.5" customHeight="1" thickBot="1" x14ac:dyDescent="0.3">
      <c r="B27" t="s">
        <v>109</v>
      </c>
      <c r="F27" s="61" t="s">
        <v>30</v>
      </c>
      <c r="G27" s="61"/>
      <c r="H27" s="61"/>
    </row>
    <row r="28" spans="2:8" ht="21.75" customHeight="1" thickBot="1" x14ac:dyDescent="0.3">
      <c r="F28" s="5" t="s">
        <v>31</v>
      </c>
      <c r="G28" s="9" t="s">
        <v>32</v>
      </c>
      <c r="H28" s="7">
        <f>(H24*D11)-(D12*2)</f>
        <v>20047</v>
      </c>
    </row>
    <row r="29" spans="2:8" ht="21.75" customHeight="1" x14ac:dyDescent="0.25">
      <c r="F29" s="5" t="s">
        <v>33</v>
      </c>
      <c r="G29" s="9" t="s">
        <v>34</v>
      </c>
      <c r="H29" s="7">
        <f>H28/231</f>
        <v>86.783549783549788</v>
      </c>
    </row>
    <row r="30" spans="2:8" ht="12.75" customHeight="1" x14ac:dyDescent="0.25">
      <c r="H30" s="24" t="s">
        <v>35</v>
      </c>
    </row>
    <row r="31" spans="2:8" ht="7.5" customHeight="1" x14ac:dyDescent="0.25"/>
    <row r="32" spans="2:8" ht="18" customHeight="1" x14ac:dyDescent="0.25">
      <c r="B32" s="58" t="s">
        <v>36</v>
      </c>
      <c r="C32" s="58"/>
      <c r="D32" s="58"/>
      <c r="E32" s="58"/>
      <c r="F32" s="58"/>
      <c r="G32" s="58"/>
      <c r="H32" s="58"/>
    </row>
    <row r="33" spans="2:8" ht="15.75" customHeight="1" x14ac:dyDescent="0.25">
      <c r="B33" s="57" t="s">
        <v>37</v>
      </c>
      <c r="C33" s="57"/>
      <c r="D33" s="57"/>
      <c r="E33" s="57"/>
      <c r="F33" s="57"/>
      <c r="G33" s="57"/>
      <c r="H33" s="57"/>
    </row>
    <row r="34" spans="2:8" ht="15.75" customHeight="1" x14ac:dyDescent="0.25">
      <c r="B34" s="57" t="s">
        <v>38</v>
      </c>
      <c r="C34" s="57"/>
      <c r="D34" s="57"/>
      <c r="E34" s="57"/>
      <c r="F34" s="57"/>
      <c r="G34" s="57"/>
      <c r="H34" s="57"/>
    </row>
    <row r="35" spans="2:8" ht="15.75" customHeight="1" x14ac:dyDescent="0.25">
      <c r="B35" s="57" t="s">
        <v>39</v>
      </c>
      <c r="C35" s="57"/>
      <c r="D35" s="57"/>
      <c r="E35" s="57"/>
      <c r="F35" s="57"/>
      <c r="G35" s="57"/>
      <c r="H35" s="57"/>
    </row>
    <row r="36" spans="2:8" ht="15.75" customHeight="1" x14ac:dyDescent="0.25">
      <c r="B36" s="57" t="s">
        <v>40</v>
      </c>
      <c r="C36" s="57"/>
      <c r="D36" s="57"/>
      <c r="E36" s="57"/>
      <c r="F36" s="57"/>
      <c r="G36" s="57"/>
      <c r="H36" s="57"/>
    </row>
    <row r="37" spans="2:8" ht="15.75" customHeight="1" x14ac:dyDescent="0.25">
      <c r="B37" s="57" t="s">
        <v>41</v>
      </c>
      <c r="C37" s="57"/>
      <c r="D37" s="57"/>
      <c r="E37" s="57"/>
      <c r="F37" s="57"/>
      <c r="G37" s="57"/>
      <c r="H37" s="57"/>
    </row>
  </sheetData>
  <mergeCells count="11">
    <mergeCell ref="B2:H2"/>
    <mergeCell ref="B4:D4"/>
    <mergeCell ref="F14:H14"/>
    <mergeCell ref="F22:H22"/>
    <mergeCell ref="F27:H27"/>
    <mergeCell ref="B37:H37"/>
    <mergeCell ref="B32:H32"/>
    <mergeCell ref="B33:H33"/>
    <mergeCell ref="B34:H34"/>
    <mergeCell ref="B35:H35"/>
    <mergeCell ref="B36:H36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7864"/>
  </sheetPr>
  <dimension ref="B1:K40"/>
  <sheetViews>
    <sheetView zoomScaleNormal="100" workbookViewId="0">
      <selection activeCell="C20" sqref="C20"/>
    </sheetView>
  </sheetViews>
  <sheetFormatPr defaultColWidth="8.7109375" defaultRowHeight="15" x14ac:dyDescent="0.25"/>
  <cols>
    <col min="1" max="1" width="3" customWidth="1"/>
    <col min="2" max="2" width="31" customWidth="1"/>
    <col min="3" max="3" width="8" customWidth="1"/>
    <col min="4" max="5" width="14" customWidth="1"/>
    <col min="6" max="6" width="3" customWidth="1"/>
    <col min="7" max="7" width="26" customWidth="1"/>
    <col min="8" max="8" width="10" customWidth="1"/>
    <col min="9" max="11" width="13" customWidth="1"/>
    <col min="12" max="12" width="3" customWidth="1"/>
  </cols>
  <sheetData>
    <row r="1" spans="2:11" ht="7.5" customHeight="1" x14ac:dyDescent="0.25"/>
    <row r="2" spans="2:11" ht="36" customHeight="1" x14ac:dyDescent="0.25">
      <c r="B2" s="59" t="s">
        <v>42</v>
      </c>
      <c r="C2" s="59"/>
      <c r="D2" s="59"/>
      <c r="E2" s="59"/>
      <c r="F2" s="59"/>
      <c r="G2" s="59"/>
      <c r="H2" s="59"/>
      <c r="I2" s="59"/>
      <c r="J2" s="59"/>
      <c r="K2" s="59"/>
    </row>
    <row r="3" spans="2:11" ht="7.5" customHeight="1" x14ac:dyDescent="0.25"/>
    <row r="4" spans="2:11" ht="19.5" customHeight="1" x14ac:dyDescent="0.25">
      <c r="B4" s="60" t="s">
        <v>1</v>
      </c>
      <c r="C4" s="60"/>
      <c r="D4" s="60"/>
      <c r="E4" s="60"/>
    </row>
    <row r="5" spans="2:11" ht="18" customHeight="1" x14ac:dyDescent="0.25">
      <c r="B5" s="1" t="s">
        <v>2</v>
      </c>
      <c r="C5" s="1" t="s">
        <v>3</v>
      </c>
      <c r="D5" s="1" t="s">
        <v>43</v>
      </c>
      <c r="E5" s="1" t="s">
        <v>44</v>
      </c>
    </row>
    <row r="6" spans="2:11" ht="15.75" customHeight="1" x14ac:dyDescent="0.25">
      <c r="B6" s="10"/>
      <c r="C6" s="10"/>
      <c r="D6" s="11" t="s">
        <v>45</v>
      </c>
      <c r="E6" s="12" t="s">
        <v>46</v>
      </c>
    </row>
    <row r="7" spans="2:11" ht="19.5" customHeight="1" x14ac:dyDescent="0.25">
      <c r="B7" s="2" t="s">
        <v>5</v>
      </c>
      <c r="C7" s="3" t="s">
        <v>6</v>
      </c>
      <c r="D7" s="18">
        <v>32</v>
      </c>
      <c r="E7" s="19">
        <v>24</v>
      </c>
    </row>
    <row r="8" spans="2:11" ht="19.5" customHeight="1" x14ac:dyDescent="0.25">
      <c r="B8" s="2" t="s">
        <v>7</v>
      </c>
      <c r="C8" s="3" t="s">
        <v>8</v>
      </c>
      <c r="D8" s="18">
        <v>6</v>
      </c>
      <c r="E8" s="19">
        <v>4</v>
      </c>
    </row>
    <row r="9" spans="2:11" ht="19.5" customHeight="1" x14ac:dyDescent="0.25">
      <c r="B9" s="2" t="s">
        <v>9</v>
      </c>
      <c r="C9" s="3" t="s">
        <v>10</v>
      </c>
      <c r="D9" s="18">
        <v>22</v>
      </c>
      <c r="E9" s="19">
        <v>17</v>
      </c>
    </row>
    <row r="10" spans="2:11" ht="19.5" customHeight="1" x14ac:dyDescent="0.25">
      <c r="B10" s="2" t="s">
        <v>11</v>
      </c>
      <c r="C10" s="3" t="s">
        <v>12</v>
      </c>
      <c r="D10" s="18">
        <v>9</v>
      </c>
      <c r="E10" s="19">
        <v>7</v>
      </c>
    </row>
    <row r="11" spans="2:11" ht="19.5" customHeight="1" x14ac:dyDescent="0.25">
      <c r="B11" s="2" t="s">
        <v>95</v>
      </c>
      <c r="C11" s="3" t="s">
        <v>13</v>
      </c>
      <c r="D11" s="64">
        <v>45</v>
      </c>
      <c r="E11" s="64"/>
    </row>
    <row r="12" spans="2:11" x14ac:dyDescent="0.25">
      <c r="B12" s="36" t="s">
        <v>98</v>
      </c>
      <c r="C12" s="37" t="s">
        <v>99</v>
      </c>
      <c r="D12" s="65">
        <v>0.25</v>
      </c>
      <c r="E12" s="66"/>
    </row>
    <row r="13" spans="2:11" ht="7.5" customHeight="1" x14ac:dyDescent="0.25"/>
    <row r="14" spans="2:11" ht="19.5" customHeight="1" x14ac:dyDescent="0.25">
      <c r="B14" s="23"/>
      <c r="D14" s="25" t="s">
        <v>100</v>
      </c>
      <c r="G14" s="60" t="s">
        <v>14</v>
      </c>
      <c r="H14" s="60"/>
      <c r="I14" s="60"/>
      <c r="J14" s="60"/>
      <c r="K14" s="60"/>
    </row>
    <row r="15" spans="2:11" ht="18" customHeight="1" x14ac:dyDescent="0.3">
      <c r="B15" s="26" t="s">
        <v>102</v>
      </c>
      <c r="C15" s="27"/>
      <c r="D15" s="28">
        <f>K30*95%</f>
        <v>77.048701298701289</v>
      </c>
      <c r="G15" s="1" t="s">
        <v>15</v>
      </c>
      <c r="H15" s="1" t="s">
        <v>47</v>
      </c>
      <c r="I15" s="1" t="s">
        <v>48</v>
      </c>
      <c r="J15" s="1" t="s">
        <v>49</v>
      </c>
      <c r="K15" s="1" t="s">
        <v>50</v>
      </c>
    </row>
    <row r="16" spans="2:11" ht="19.5" customHeight="1" x14ac:dyDescent="0.25">
      <c r="B16" s="47" t="s">
        <v>103</v>
      </c>
      <c r="C16" s="48"/>
      <c r="D16" s="53"/>
      <c r="G16" s="2" t="s">
        <v>17</v>
      </c>
      <c r="H16" s="3" t="s">
        <v>6</v>
      </c>
      <c r="I16" s="4">
        <f>D7-(D12*2)</f>
        <v>31.5</v>
      </c>
      <c r="J16" s="13">
        <f>E7-(D12*2)</f>
        <v>23.5</v>
      </c>
      <c r="K16" s="14">
        <f>(D7+E7)/2</f>
        <v>28</v>
      </c>
    </row>
    <row r="17" spans="2:11" ht="19.5" customHeight="1" x14ac:dyDescent="0.25">
      <c r="B17" s="50" t="s">
        <v>104</v>
      </c>
      <c r="C17" s="51" t="s">
        <v>100</v>
      </c>
      <c r="D17" s="40">
        <f>K30-D15</f>
        <v>4.0551948051948159</v>
      </c>
      <c r="G17" s="2" t="s">
        <v>18</v>
      </c>
      <c r="H17" s="3" t="s">
        <v>12</v>
      </c>
      <c r="I17" s="4">
        <f>D10-D12</f>
        <v>8.75</v>
      </c>
      <c r="J17" s="13">
        <f>E10-D12</f>
        <v>6.75</v>
      </c>
      <c r="K17" s="14">
        <f>(D10+E10)/2</f>
        <v>8</v>
      </c>
    </row>
    <row r="18" spans="2:11" ht="19.5" customHeight="1" x14ac:dyDescent="0.25">
      <c r="B18" s="50" t="s">
        <v>101</v>
      </c>
      <c r="C18" s="51" t="s">
        <v>106</v>
      </c>
      <c r="D18" s="41">
        <f>(K25*1)/231</f>
        <v>1.7911255411255411</v>
      </c>
      <c r="G18" s="2" t="s">
        <v>51</v>
      </c>
      <c r="H18" s="3" t="s">
        <v>20</v>
      </c>
      <c r="I18" s="4">
        <f>SQRT(((D7-D8)/2)^2+(D9-D10)^2)</f>
        <v>18.384776310850235</v>
      </c>
      <c r="J18" s="13">
        <f>SQRT(((E7-E8)/2)^2+(E9-E10)^2)</f>
        <v>14.142135623730951</v>
      </c>
      <c r="K18" s="14">
        <f>SQRT((((D7+E7)/2-(D8+E8)/2)/2)^2+((D9+E9)/2-(D10+E10)/2)^2)</f>
        <v>16.263455967290593</v>
      </c>
    </row>
    <row r="19" spans="2:11" ht="19.5" customHeight="1" x14ac:dyDescent="0.25">
      <c r="D19" s="39"/>
      <c r="G19" s="2" t="s">
        <v>21</v>
      </c>
      <c r="H19" s="3" t="s">
        <v>8</v>
      </c>
      <c r="I19" s="4">
        <f>D8-D12</f>
        <v>5.75</v>
      </c>
      <c r="J19" s="13">
        <f>E8-D12</f>
        <v>3.75</v>
      </c>
      <c r="K19" s="14">
        <f>(D8+E8)/2</f>
        <v>5</v>
      </c>
    </row>
    <row r="20" spans="2:11" ht="19.5" customHeight="1" x14ac:dyDescent="0.35">
      <c r="B20" s="73" t="s">
        <v>110</v>
      </c>
      <c r="C20" s="75" t="s">
        <v>106</v>
      </c>
      <c r="D20" s="71">
        <f>D17/D18</f>
        <v>2.2640483383685859</v>
      </c>
      <c r="G20" s="2" t="s">
        <v>52</v>
      </c>
      <c r="H20" s="3" t="s">
        <v>23</v>
      </c>
      <c r="I20" s="4">
        <f>SQRT(((D7-D8)/2)^2+(D9-D10)^2)</f>
        <v>18.384776310850235</v>
      </c>
      <c r="J20" s="13">
        <f>SQRT(((E7-E8)/2)^2+(E9-E10)^2)</f>
        <v>14.142135623730951</v>
      </c>
      <c r="K20" s="14">
        <f>SQRT((((D7+E7)/2-(D8+E8)/2)/2)^2+((D9+E9)/2-(D10+E10)/2)^2)</f>
        <v>16.263455967290593</v>
      </c>
    </row>
    <row r="21" spans="2:11" ht="19.5" customHeight="1" x14ac:dyDescent="0.25">
      <c r="B21" s="56" t="s">
        <v>108</v>
      </c>
      <c r="G21" s="2" t="s">
        <v>24</v>
      </c>
      <c r="H21" s="3" t="s">
        <v>10</v>
      </c>
      <c r="I21" s="4">
        <f>D9-(D12*2)</f>
        <v>21.5</v>
      </c>
      <c r="J21" s="13">
        <f>E9-(D12*2)</f>
        <v>16.5</v>
      </c>
      <c r="K21" s="14">
        <f>(D9+E9)/2</f>
        <v>19.5</v>
      </c>
    </row>
    <row r="22" spans="2:11" ht="19.5" customHeight="1" x14ac:dyDescent="0.25">
      <c r="G22" s="61" t="s">
        <v>25</v>
      </c>
      <c r="H22" s="61"/>
      <c r="I22" s="61"/>
      <c r="J22" s="61"/>
      <c r="K22" s="61"/>
    </row>
    <row r="23" spans="2:11" ht="21.75" customHeight="1" x14ac:dyDescent="0.25">
      <c r="G23" s="5" t="s">
        <v>26</v>
      </c>
      <c r="H23" s="6" t="s">
        <v>27</v>
      </c>
      <c r="I23" s="15">
        <f>SUM(I16:I21)</f>
        <v>104.26955262170048</v>
      </c>
      <c r="J23" s="16">
        <f>SUM(J16:J21)</f>
        <v>78.784271247461902</v>
      </c>
      <c r="K23" s="17">
        <f>SUM(K16:K21)</f>
        <v>93.026911934581193</v>
      </c>
    </row>
    <row r="24" spans="2:11" ht="12.75" customHeight="1" x14ac:dyDescent="0.25">
      <c r="I24" s="8" t="s">
        <v>53</v>
      </c>
      <c r="J24" s="8" t="s">
        <v>53</v>
      </c>
      <c r="K24" s="8" t="s">
        <v>53</v>
      </c>
    </row>
    <row r="25" spans="2:11" ht="21.75" customHeight="1" x14ac:dyDescent="0.25">
      <c r="G25" s="38" t="s">
        <v>105</v>
      </c>
      <c r="H25" s="6" t="s">
        <v>28</v>
      </c>
      <c r="I25" s="15">
        <f>D7*D9-((D7-D8)/2)*(D9-D10)</f>
        <v>535</v>
      </c>
      <c r="J25" s="16">
        <f>E7*E9-((E7-E8)/2)*(E9-E10)</f>
        <v>308</v>
      </c>
      <c r="K25" s="17">
        <f>((D7+E7)/2)*((D9+E9)/2)-(((D7+E7)/2-(D8+E8)/2)/2)*((D9+E9)/2-(D10+E10)/2)</f>
        <v>413.75</v>
      </c>
    </row>
    <row r="26" spans="2:11" ht="12.75" customHeight="1" x14ac:dyDescent="0.25">
      <c r="I26" s="8" t="s">
        <v>54</v>
      </c>
      <c r="J26" s="8" t="s">
        <v>54</v>
      </c>
      <c r="K26" s="8" t="s">
        <v>54</v>
      </c>
    </row>
    <row r="27" spans="2:11" ht="7.5" customHeight="1" x14ac:dyDescent="0.25"/>
    <row r="28" spans="2:11" ht="19.5" customHeight="1" x14ac:dyDescent="0.25">
      <c r="G28" s="61" t="s">
        <v>55</v>
      </c>
      <c r="H28" s="61"/>
      <c r="I28" s="61"/>
      <c r="J28" s="61"/>
      <c r="K28" s="61"/>
    </row>
    <row r="29" spans="2:11" ht="21.75" customHeight="1" x14ac:dyDescent="0.25">
      <c r="G29" s="5" t="s">
        <v>31</v>
      </c>
      <c r="H29" s="62" t="s">
        <v>56</v>
      </c>
      <c r="I29" s="62"/>
      <c r="J29" s="62"/>
      <c r="K29" s="7">
        <f>(D11/6)*(I25+J25+4*K25)</f>
        <v>18735</v>
      </c>
    </row>
    <row r="30" spans="2:11" ht="21.75" customHeight="1" x14ac:dyDescent="0.25">
      <c r="G30" s="5" t="s">
        <v>33</v>
      </c>
      <c r="H30" s="62" t="s">
        <v>34</v>
      </c>
      <c r="I30" s="62"/>
      <c r="J30" s="62"/>
      <c r="K30" s="7">
        <f>K29/231</f>
        <v>81.103896103896105</v>
      </c>
    </row>
    <row r="31" spans="2:11" ht="12.75" customHeight="1" x14ac:dyDescent="0.25">
      <c r="K31" s="8" t="s">
        <v>35</v>
      </c>
    </row>
    <row r="32" spans="2:11" ht="7.5" customHeight="1" x14ac:dyDescent="0.25"/>
    <row r="33" spans="2:11" ht="18" customHeight="1" x14ac:dyDescent="0.25">
      <c r="B33" s="63" t="s">
        <v>36</v>
      </c>
      <c r="C33" s="63"/>
      <c r="D33" s="63"/>
      <c r="E33" s="63"/>
      <c r="F33" s="63"/>
      <c r="G33" s="63"/>
      <c r="H33" s="63"/>
      <c r="I33" s="63"/>
      <c r="J33" s="63"/>
      <c r="K33" s="63"/>
    </row>
    <row r="34" spans="2:11" ht="15.75" customHeight="1" x14ac:dyDescent="0.25">
      <c r="B34" s="57" t="s">
        <v>57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ht="15.75" customHeight="1" x14ac:dyDescent="0.25">
      <c r="B35" s="57" t="s">
        <v>58</v>
      </c>
      <c r="C35" s="57"/>
      <c r="D35" s="57"/>
      <c r="E35" s="57"/>
      <c r="F35" s="57"/>
      <c r="G35" s="57"/>
      <c r="H35" s="57"/>
      <c r="I35" s="57"/>
      <c r="J35" s="57"/>
      <c r="K35" s="57"/>
    </row>
    <row r="36" spans="2:11" ht="15.75" customHeight="1" x14ac:dyDescent="0.25">
      <c r="B36" s="57" t="s">
        <v>59</v>
      </c>
      <c r="C36" s="57"/>
      <c r="D36" s="57"/>
      <c r="E36" s="57"/>
      <c r="F36" s="57"/>
      <c r="G36" s="57"/>
      <c r="H36" s="57"/>
      <c r="I36" s="57"/>
      <c r="J36" s="57"/>
      <c r="K36" s="57"/>
    </row>
    <row r="37" spans="2:11" ht="15.75" customHeight="1" x14ac:dyDescent="0.25">
      <c r="B37" s="57" t="s">
        <v>60</v>
      </c>
      <c r="C37" s="57"/>
      <c r="D37" s="57"/>
      <c r="E37" s="57"/>
      <c r="F37" s="57"/>
      <c r="G37" s="57"/>
      <c r="H37" s="57"/>
      <c r="I37" s="57"/>
      <c r="J37" s="57"/>
      <c r="K37" s="57"/>
    </row>
    <row r="38" spans="2:11" ht="15.75" customHeight="1" x14ac:dyDescent="0.25">
      <c r="B38" s="57" t="s">
        <v>61</v>
      </c>
      <c r="C38" s="57"/>
      <c r="D38" s="57"/>
      <c r="E38" s="57"/>
      <c r="F38" s="57"/>
      <c r="G38" s="57"/>
      <c r="H38" s="57"/>
      <c r="I38" s="57"/>
      <c r="J38" s="57"/>
      <c r="K38" s="57"/>
    </row>
    <row r="39" spans="2:11" ht="15.75" customHeight="1" x14ac:dyDescent="0.25">
      <c r="B39" s="57" t="s">
        <v>62</v>
      </c>
      <c r="C39" s="57"/>
      <c r="D39" s="57"/>
      <c r="E39" s="57"/>
      <c r="F39" s="57"/>
      <c r="G39" s="57"/>
      <c r="H39" s="57"/>
      <c r="I39" s="57"/>
      <c r="J39" s="57"/>
      <c r="K39" s="57"/>
    </row>
    <row r="40" spans="2:11" ht="15.75" customHeight="1" x14ac:dyDescent="0.25">
      <c r="B40" s="57" t="s">
        <v>41</v>
      </c>
      <c r="C40" s="57"/>
      <c r="D40" s="57"/>
      <c r="E40" s="57"/>
      <c r="F40" s="57"/>
      <c r="G40" s="57"/>
      <c r="H40" s="57"/>
      <c r="I40" s="57"/>
      <c r="J40" s="57"/>
      <c r="K40" s="57"/>
    </row>
  </sheetData>
  <mergeCells count="17">
    <mergeCell ref="B2:K2"/>
    <mergeCell ref="B4:E4"/>
    <mergeCell ref="D11:E11"/>
    <mergeCell ref="G14:K14"/>
    <mergeCell ref="G22:K22"/>
    <mergeCell ref="D12:E12"/>
    <mergeCell ref="G28:K28"/>
    <mergeCell ref="H29:J29"/>
    <mergeCell ref="H30:J30"/>
    <mergeCell ref="B33:K33"/>
    <mergeCell ref="B34:K34"/>
    <mergeCell ref="B40:K40"/>
    <mergeCell ref="B35:K35"/>
    <mergeCell ref="B36:K36"/>
    <mergeCell ref="B37:K37"/>
    <mergeCell ref="B38:K38"/>
    <mergeCell ref="B39:K3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241C"/>
  </sheetPr>
  <dimension ref="B1:H40"/>
  <sheetViews>
    <sheetView zoomScaleNormal="100" workbookViewId="0">
      <selection activeCell="D15" sqref="D15"/>
    </sheetView>
  </sheetViews>
  <sheetFormatPr defaultColWidth="8.7109375" defaultRowHeight="15" x14ac:dyDescent="0.25"/>
  <cols>
    <col min="1" max="1" width="3" customWidth="1"/>
    <col min="2" max="2" width="31.28515625" customWidth="1"/>
    <col min="3" max="3" width="9" customWidth="1"/>
    <col min="4" max="4" width="16" customWidth="1"/>
    <col min="5" max="5" width="3" customWidth="1"/>
    <col min="6" max="6" width="28" customWidth="1"/>
    <col min="7" max="7" width="12" customWidth="1"/>
    <col min="8" max="8" width="16" customWidth="1"/>
    <col min="9" max="9" width="3" customWidth="1"/>
  </cols>
  <sheetData>
    <row r="1" spans="2:8" ht="7.5" customHeight="1" x14ac:dyDescent="0.25"/>
    <row r="2" spans="2:8" ht="36" customHeight="1" x14ac:dyDescent="0.25">
      <c r="B2" s="59" t="s">
        <v>96</v>
      </c>
      <c r="C2" s="59"/>
      <c r="D2" s="59"/>
      <c r="E2" s="59"/>
      <c r="F2" s="59"/>
      <c r="G2" s="59"/>
      <c r="H2" s="59"/>
    </row>
    <row r="3" spans="2:8" ht="27.75" customHeight="1" x14ac:dyDescent="0.25">
      <c r="B3" s="67" t="s">
        <v>63</v>
      </c>
      <c r="C3" s="67"/>
      <c r="D3" s="67"/>
      <c r="E3" s="67"/>
      <c r="F3" s="67"/>
      <c r="G3" s="67"/>
      <c r="H3" s="67"/>
    </row>
    <row r="4" spans="2:8" ht="19.5" customHeight="1" x14ac:dyDescent="0.25">
      <c r="B4" s="60" t="s">
        <v>1</v>
      </c>
      <c r="C4" s="60"/>
      <c r="D4" s="60"/>
    </row>
    <row r="5" spans="2:8" ht="18" customHeight="1" x14ac:dyDescent="0.25">
      <c r="B5" s="1" t="s">
        <v>2</v>
      </c>
      <c r="C5" s="1" t="s">
        <v>3</v>
      </c>
      <c r="D5" s="1" t="s">
        <v>4</v>
      </c>
    </row>
    <row r="7" spans="2:8" ht="19.5" customHeight="1" x14ac:dyDescent="0.25">
      <c r="B7" s="2" t="s">
        <v>64</v>
      </c>
      <c r="C7" s="3" t="s">
        <v>65</v>
      </c>
      <c r="D7" s="18">
        <v>22</v>
      </c>
    </row>
    <row r="8" spans="2:8" ht="19.5" customHeight="1" x14ac:dyDescent="0.25">
      <c r="B8" s="2" t="s">
        <v>66</v>
      </c>
      <c r="C8" s="3" t="s">
        <v>67</v>
      </c>
      <c r="D8" s="18">
        <v>6</v>
      </c>
    </row>
    <row r="9" spans="2:8" ht="19.5" customHeight="1" x14ac:dyDescent="0.25">
      <c r="B9" s="2" t="s">
        <v>9</v>
      </c>
      <c r="C9" s="3" t="s">
        <v>10</v>
      </c>
      <c r="D9" s="18">
        <v>18</v>
      </c>
    </row>
    <row r="10" spans="2:8" ht="19.5" customHeight="1" x14ac:dyDescent="0.25">
      <c r="B10" s="2" t="s">
        <v>11</v>
      </c>
      <c r="C10" s="3" t="s">
        <v>12</v>
      </c>
      <c r="D10" s="18">
        <v>6</v>
      </c>
    </row>
    <row r="11" spans="2:8" ht="19.5" customHeight="1" x14ac:dyDescent="0.25">
      <c r="B11" s="2" t="s">
        <v>95</v>
      </c>
      <c r="C11" s="3" t="s">
        <v>13</v>
      </c>
      <c r="D11" s="18">
        <v>36</v>
      </c>
    </row>
    <row r="12" spans="2:8" x14ac:dyDescent="0.25">
      <c r="B12" s="36" t="s">
        <v>98</v>
      </c>
      <c r="C12" s="37" t="s">
        <v>99</v>
      </c>
      <c r="D12" s="33">
        <v>0.25</v>
      </c>
    </row>
    <row r="13" spans="2:8" ht="7.5" customHeight="1" x14ac:dyDescent="0.25"/>
    <row r="14" spans="2:8" ht="19.5" customHeight="1" x14ac:dyDescent="0.25">
      <c r="B14" s="23"/>
      <c r="D14" s="25" t="s">
        <v>100</v>
      </c>
      <c r="F14" s="60" t="s">
        <v>14</v>
      </c>
      <c r="G14" s="60"/>
      <c r="H14" s="60"/>
    </row>
    <row r="15" spans="2:8" ht="18" customHeight="1" x14ac:dyDescent="0.35">
      <c r="B15" s="26" t="s">
        <v>102</v>
      </c>
      <c r="C15" s="27"/>
      <c r="D15" s="78">
        <f>H30*95%</f>
        <v>111.43119588744588</v>
      </c>
      <c r="F15" s="1" t="s">
        <v>15</v>
      </c>
      <c r="G15" s="1" t="s">
        <v>3</v>
      </c>
      <c r="H15" s="1" t="s">
        <v>16</v>
      </c>
    </row>
    <row r="16" spans="2:8" ht="19.5" customHeight="1" x14ac:dyDescent="0.25">
      <c r="B16" s="47" t="s">
        <v>103</v>
      </c>
      <c r="C16" s="54"/>
      <c r="D16" s="55"/>
      <c r="F16" s="2" t="s">
        <v>17</v>
      </c>
      <c r="G16" s="3" t="s">
        <v>65</v>
      </c>
      <c r="H16" s="4">
        <f>D7-(D12*2)</f>
        <v>21.5</v>
      </c>
    </row>
    <row r="17" spans="2:8" ht="19.5" customHeight="1" x14ac:dyDescent="0.25">
      <c r="B17" s="50" t="s">
        <v>104</v>
      </c>
      <c r="C17" s="51" t="s">
        <v>100</v>
      </c>
      <c r="D17" s="40">
        <f>H30-D15</f>
        <v>5.8647997835497847</v>
      </c>
      <c r="F17" s="2" t="s">
        <v>18</v>
      </c>
      <c r="G17" s="3" t="s">
        <v>12</v>
      </c>
      <c r="H17" s="4">
        <f>D10-D12</f>
        <v>5.75</v>
      </c>
    </row>
    <row r="18" spans="2:8" ht="19.5" customHeight="1" x14ac:dyDescent="0.25">
      <c r="B18" s="50" t="s">
        <v>101</v>
      </c>
      <c r="C18" s="51" t="s">
        <v>106</v>
      </c>
      <c r="D18" s="41">
        <f>(H25*1)/231</f>
        <v>3.304112554112554</v>
      </c>
      <c r="F18" s="2" t="s">
        <v>19</v>
      </c>
      <c r="G18" s="3" t="s">
        <v>20</v>
      </c>
      <c r="H18" s="4">
        <f>SQRT((D7-D8)^2+(D9-D10)^2)</f>
        <v>20</v>
      </c>
    </row>
    <row r="19" spans="2:8" ht="19.5" customHeight="1" x14ac:dyDescent="0.25">
      <c r="F19" s="2" t="s">
        <v>21</v>
      </c>
      <c r="G19" s="3" t="s">
        <v>67</v>
      </c>
      <c r="H19" s="4">
        <f>D8-D12</f>
        <v>5.75</v>
      </c>
    </row>
    <row r="20" spans="2:8" ht="19.5" customHeight="1" x14ac:dyDescent="0.35">
      <c r="B20" s="72" t="s">
        <v>110</v>
      </c>
      <c r="C20" s="75" t="s">
        <v>106</v>
      </c>
      <c r="D20" s="74">
        <f>D17/D18</f>
        <v>1.7750000000000004</v>
      </c>
      <c r="F20" s="2" t="s">
        <v>68</v>
      </c>
      <c r="G20" s="3" t="s">
        <v>10</v>
      </c>
      <c r="H20" s="4">
        <f>D9-(D12*2)</f>
        <v>17.5</v>
      </c>
    </row>
    <row r="22" spans="2:8" ht="7.5" customHeight="1" x14ac:dyDescent="0.25">
      <c r="F22" s="61" t="s">
        <v>25</v>
      </c>
      <c r="G22" s="61"/>
      <c r="H22" s="61"/>
    </row>
    <row r="23" spans="2:8" ht="19.5" customHeight="1" x14ac:dyDescent="0.25">
      <c r="B23" s="56" t="s">
        <v>108</v>
      </c>
    </row>
    <row r="24" spans="2:8" ht="21.75" customHeight="1" x14ac:dyDescent="0.25">
      <c r="F24" s="5" t="s">
        <v>69</v>
      </c>
      <c r="G24" s="6" t="s">
        <v>27</v>
      </c>
      <c r="H24" s="7">
        <f>SUM(H16:H20)</f>
        <v>70.5</v>
      </c>
    </row>
    <row r="25" spans="2:8" ht="21.75" customHeight="1" x14ac:dyDescent="0.25">
      <c r="F25" s="38" t="s">
        <v>105</v>
      </c>
      <c r="G25" s="6" t="s">
        <v>28</v>
      </c>
      <c r="H25" s="7">
        <f>(D7-D12*2)*(D11-D12*2)</f>
        <v>763.25</v>
      </c>
    </row>
    <row r="26" spans="2:8" ht="12.75" customHeight="1" x14ac:dyDescent="0.25">
      <c r="H26" s="8" t="s">
        <v>29</v>
      </c>
    </row>
    <row r="27" spans="2:8" ht="7.5" customHeight="1" x14ac:dyDescent="0.25"/>
    <row r="28" spans="2:8" ht="19.5" customHeight="1" x14ac:dyDescent="0.25">
      <c r="F28" s="61" t="s">
        <v>30</v>
      </c>
      <c r="G28" s="61"/>
      <c r="H28" s="61"/>
    </row>
    <row r="29" spans="2:8" ht="21.75" customHeight="1" x14ac:dyDescent="0.25">
      <c r="F29" s="5" t="s">
        <v>31</v>
      </c>
      <c r="G29" s="9" t="s">
        <v>32</v>
      </c>
      <c r="H29" s="7">
        <f>H25*(D11-D12*2)</f>
        <v>27095.375</v>
      </c>
    </row>
    <row r="30" spans="2:8" ht="21.75" customHeight="1" x14ac:dyDescent="0.25">
      <c r="F30" s="5" t="s">
        <v>33</v>
      </c>
      <c r="G30" s="9" t="s">
        <v>34</v>
      </c>
      <c r="H30" s="7">
        <f>H29/231</f>
        <v>117.29599567099567</v>
      </c>
    </row>
    <row r="31" spans="2:8" ht="12.75" customHeight="1" x14ac:dyDescent="0.25">
      <c r="H31" s="8" t="s">
        <v>35</v>
      </c>
    </row>
    <row r="32" spans="2:8" ht="7.5" customHeight="1" x14ac:dyDescent="0.25"/>
    <row r="33" spans="2:8" ht="18" customHeight="1" x14ac:dyDescent="0.25">
      <c r="B33" s="63" t="s">
        <v>36</v>
      </c>
      <c r="C33" s="63"/>
      <c r="D33" s="63"/>
      <c r="E33" s="63"/>
      <c r="F33" s="63"/>
      <c r="G33" s="63"/>
      <c r="H33" s="63"/>
    </row>
    <row r="34" spans="2:8" ht="15.75" customHeight="1" x14ac:dyDescent="0.25">
      <c r="B34" s="57" t="s">
        <v>70</v>
      </c>
      <c r="C34" s="57"/>
      <c r="D34" s="57"/>
      <c r="E34" s="57"/>
      <c r="F34" s="57"/>
      <c r="G34" s="57"/>
      <c r="H34" s="57"/>
    </row>
    <row r="35" spans="2:8" ht="15.75" customHeight="1" x14ac:dyDescent="0.25">
      <c r="B35" s="57" t="s">
        <v>71</v>
      </c>
      <c r="C35" s="57"/>
      <c r="D35" s="57"/>
      <c r="E35" s="57"/>
      <c r="F35" s="57"/>
      <c r="G35" s="57"/>
      <c r="H35" s="57"/>
    </row>
    <row r="36" spans="2:8" ht="15.75" customHeight="1" x14ac:dyDescent="0.25">
      <c r="B36" s="57" t="s">
        <v>72</v>
      </c>
      <c r="C36" s="57"/>
      <c r="D36" s="57"/>
      <c r="E36" s="57"/>
      <c r="F36" s="57"/>
      <c r="G36" s="57"/>
      <c r="H36" s="57"/>
    </row>
    <row r="37" spans="2:8" ht="15.75" customHeight="1" x14ac:dyDescent="0.25">
      <c r="B37" s="57" t="s">
        <v>73</v>
      </c>
      <c r="C37" s="57"/>
      <c r="D37" s="57"/>
      <c r="E37" s="57"/>
      <c r="F37" s="57"/>
      <c r="G37" s="57"/>
      <c r="H37" s="57"/>
    </row>
    <row r="38" spans="2:8" ht="15.75" customHeight="1" x14ac:dyDescent="0.25">
      <c r="B38" s="57" t="s">
        <v>74</v>
      </c>
      <c r="C38" s="57"/>
      <c r="D38" s="57"/>
      <c r="E38" s="57"/>
      <c r="F38" s="57"/>
      <c r="G38" s="57"/>
      <c r="H38" s="57"/>
    </row>
    <row r="39" spans="2:8" ht="15.75" customHeight="1" x14ac:dyDescent="0.25">
      <c r="B39" s="57" t="s">
        <v>75</v>
      </c>
      <c r="C39" s="57"/>
      <c r="D39" s="57"/>
      <c r="E39" s="57"/>
      <c r="F39" s="57"/>
      <c r="G39" s="57"/>
      <c r="H39" s="57"/>
    </row>
    <row r="40" spans="2:8" ht="15.75" customHeight="1" x14ac:dyDescent="0.25">
      <c r="B40" s="57" t="s">
        <v>41</v>
      </c>
      <c r="C40" s="57"/>
      <c r="D40" s="57"/>
      <c r="E40" s="57"/>
      <c r="F40" s="57"/>
      <c r="G40" s="57"/>
      <c r="H40" s="57"/>
    </row>
  </sheetData>
  <mergeCells count="14">
    <mergeCell ref="B2:H2"/>
    <mergeCell ref="B3:H3"/>
    <mergeCell ref="B4:D4"/>
    <mergeCell ref="F14:H14"/>
    <mergeCell ref="F22:H22"/>
    <mergeCell ref="B37:H37"/>
    <mergeCell ref="B38:H38"/>
    <mergeCell ref="B39:H39"/>
    <mergeCell ref="B40:H40"/>
    <mergeCell ref="F28:H28"/>
    <mergeCell ref="B33:H33"/>
    <mergeCell ref="B34:H34"/>
    <mergeCell ref="B35:H35"/>
    <mergeCell ref="B36:H3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2B21"/>
  </sheetPr>
  <dimension ref="B1:K40"/>
  <sheetViews>
    <sheetView zoomScaleNormal="100" workbookViewId="0">
      <selection activeCell="D20" sqref="D20"/>
    </sheetView>
  </sheetViews>
  <sheetFormatPr defaultColWidth="8.7109375" defaultRowHeight="15" x14ac:dyDescent="0.25"/>
  <cols>
    <col min="1" max="1" width="3" customWidth="1"/>
    <col min="2" max="2" width="30.28515625" customWidth="1"/>
    <col min="3" max="3" width="9" customWidth="1"/>
    <col min="4" max="5" width="14" customWidth="1"/>
    <col min="6" max="6" width="3" customWidth="1"/>
    <col min="7" max="7" width="26" customWidth="1"/>
    <col min="8" max="8" width="10" customWidth="1"/>
    <col min="9" max="11" width="13" customWidth="1"/>
    <col min="12" max="12" width="3" customWidth="1"/>
  </cols>
  <sheetData>
    <row r="1" spans="2:11" ht="7.5" customHeight="1" x14ac:dyDescent="0.25"/>
    <row r="2" spans="2:11" ht="36" customHeight="1" x14ac:dyDescent="0.25">
      <c r="B2" s="59" t="s">
        <v>97</v>
      </c>
      <c r="C2" s="59"/>
      <c r="D2" s="59"/>
      <c r="E2" s="59"/>
      <c r="F2" s="59"/>
      <c r="G2" s="59"/>
      <c r="H2" s="59"/>
      <c r="I2" s="59"/>
      <c r="J2" s="59"/>
      <c r="K2" s="59"/>
    </row>
    <row r="3" spans="2:11" ht="27.75" customHeight="1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19.5" customHeight="1" x14ac:dyDescent="0.25">
      <c r="B4" s="60" t="s">
        <v>1</v>
      </c>
      <c r="C4" s="60"/>
      <c r="D4" s="60"/>
      <c r="E4" s="60"/>
    </row>
    <row r="5" spans="2:11" ht="18" customHeight="1" x14ac:dyDescent="0.25">
      <c r="B5" s="1" t="s">
        <v>2</v>
      </c>
      <c r="C5" s="1" t="s">
        <v>3</v>
      </c>
      <c r="D5" s="1" t="s">
        <v>43</v>
      </c>
      <c r="E5" s="1" t="s">
        <v>44</v>
      </c>
    </row>
    <row r="6" spans="2:11" ht="15.75" customHeight="1" x14ac:dyDescent="0.25">
      <c r="B6" s="10"/>
      <c r="C6" s="10"/>
      <c r="D6" s="20" t="s">
        <v>45</v>
      </c>
      <c r="E6" s="21" t="s">
        <v>46</v>
      </c>
    </row>
    <row r="7" spans="2:11" ht="19.5" customHeight="1" x14ac:dyDescent="0.25">
      <c r="B7" s="2" t="s">
        <v>64</v>
      </c>
      <c r="C7" s="3" t="s">
        <v>65</v>
      </c>
      <c r="D7" s="18">
        <v>12</v>
      </c>
      <c r="E7" s="19">
        <v>9</v>
      </c>
    </row>
    <row r="8" spans="2:11" ht="19.5" customHeight="1" x14ac:dyDescent="0.25">
      <c r="B8" s="2" t="s">
        <v>66</v>
      </c>
      <c r="C8" s="3" t="s">
        <v>67</v>
      </c>
      <c r="D8" s="18">
        <v>6</v>
      </c>
      <c r="E8" s="19">
        <v>4</v>
      </c>
    </row>
    <row r="9" spans="2:11" ht="19.5" customHeight="1" x14ac:dyDescent="0.25">
      <c r="B9" s="2" t="s">
        <v>9</v>
      </c>
      <c r="C9" s="3" t="s">
        <v>10</v>
      </c>
      <c r="D9" s="18">
        <v>11</v>
      </c>
      <c r="E9" s="19">
        <v>8</v>
      </c>
    </row>
    <row r="10" spans="2:11" ht="19.5" customHeight="1" x14ac:dyDescent="0.25">
      <c r="B10" s="2" t="s">
        <v>11</v>
      </c>
      <c r="C10" s="3" t="s">
        <v>12</v>
      </c>
      <c r="D10" s="18">
        <v>5</v>
      </c>
      <c r="E10" s="19">
        <v>4</v>
      </c>
    </row>
    <row r="11" spans="2:11" ht="19.5" customHeight="1" x14ac:dyDescent="0.25">
      <c r="B11" s="2" t="s">
        <v>95</v>
      </c>
      <c r="C11" s="3" t="s">
        <v>13</v>
      </c>
      <c r="D11" s="64">
        <v>34</v>
      </c>
      <c r="E11" s="64"/>
    </row>
    <row r="13" spans="2:11" ht="7.5" customHeight="1" x14ac:dyDescent="0.25"/>
    <row r="14" spans="2:11" ht="19.5" customHeight="1" x14ac:dyDescent="0.25">
      <c r="B14" s="23"/>
      <c r="D14" s="25" t="s">
        <v>100</v>
      </c>
      <c r="G14" s="60" t="s">
        <v>14</v>
      </c>
      <c r="H14" s="60"/>
      <c r="I14" s="60"/>
      <c r="J14" s="60"/>
      <c r="K14" s="60"/>
    </row>
    <row r="15" spans="2:11" ht="18" customHeight="1" x14ac:dyDescent="0.35">
      <c r="B15" s="26" t="s">
        <v>102</v>
      </c>
      <c r="C15" s="27"/>
      <c r="D15" s="77">
        <f>K30*95%</f>
        <v>12.118326118326118</v>
      </c>
      <c r="G15" s="1" t="s">
        <v>15</v>
      </c>
      <c r="H15" s="1" t="s">
        <v>47</v>
      </c>
      <c r="I15" s="1" t="s">
        <v>48</v>
      </c>
      <c r="J15" s="1" t="s">
        <v>49</v>
      </c>
      <c r="K15" s="1" t="s">
        <v>50</v>
      </c>
    </row>
    <row r="16" spans="2:11" ht="19.5" customHeight="1" x14ac:dyDescent="0.25">
      <c r="B16" s="47" t="s">
        <v>103</v>
      </c>
      <c r="C16" s="48"/>
      <c r="D16" s="53"/>
      <c r="G16" s="2" t="s">
        <v>17</v>
      </c>
      <c r="H16" s="3" t="s">
        <v>65</v>
      </c>
      <c r="I16" s="4">
        <f>D7</f>
        <v>12</v>
      </c>
      <c r="J16" s="13">
        <f>E7</f>
        <v>9</v>
      </c>
      <c r="K16" s="14">
        <f>(D7+E7)/2</f>
        <v>10.5</v>
      </c>
    </row>
    <row r="17" spans="2:11" ht="19.5" customHeight="1" x14ac:dyDescent="0.25">
      <c r="B17" s="50" t="s">
        <v>104</v>
      </c>
      <c r="C17" s="51" t="s">
        <v>100</v>
      </c>
      <c r="D17" s="40">
        <f>K30-D15</f>
        <v>0.63780663780663893</v>
      </c>
      <c r="G17" s="2" t="s">
        <v>18</v>
      </c>
      <c r="H17" s="3" t="s">
        <v>12</v>
      </c>
      <c r="I17" s="4">
        <f>D10</f>
        <v>5</v>
      </c>
      <c r="J17" s="13">
        <f>E10</f>
        <v>4</v>
      </c>
      <c r="K17" s="14">
        <f>(D10+E10)/2</f>
        <v>4.5</v>
      </c>
    </row>
    <row r="18" spans="2:11" ht="19.5" customHeight="1" x14ac:dyDescent="0.25">
      <c r="B18" s="50" t="s">
        <v>101</v>
      </c>
      <c r="C18" s="51" t="s">
        <v>106</v>
      </c>
      <c r="D18" s="41">
        <f>(K25*1)/231</f>
        <v>0.37229437229437229</v>
      </c>
      <c r="G18" s="2" t="s">
        <v>51</v>
      </c>
      <c r="H18" s="3" t="s">
        <v>20</v>
      </c>
      <c r="I18" s="4">
        <f>SQRT((D7-D8)^2+(D9-D10)^2)</f>
        <v>8.4852813742385695</v>
      </c>
      <c r="J18" s="13">
        <f>SQRT((E7-E8)^2+(E9-E10)^2)</f>
        <v>6.4031242374328485</v>
      </c>
      <c r="K18" s="14">
        <f>SQRT(((D7+E7)/2-(D8+E8)/2)^2+((D9+E9)/2-(D10+E10)/2)^2)</f>
        <v>7.433034373659253</v>
      </c>
    </row>
    <row r="19" spans="2:11" ht="19.5" customHeight="1" x14ac:dyDescent="0.25">
      <c r="D19" s="39"/>
      <c r="G19" s="2" t="s">
        <v>21</v>
      </c>
      <c r="H19" s="3" t="s">
        <v>67</v>
      </c>
      <c r="I19" s="4">
        <f>D8</f>
        <v>6</v>
      </c>
      <c r="J19" s="13">
        <f>E8</f>
        <v>4</v>
      </c>
      <c r="K19" s="14">
        <f>(D8+E8)/2</f>
        <v>5</v>
      </c>
    </row>
    <row r="20" spans="2:11" ht="19.5" customHeight="1" x14ac:dyDescent="0.35">
      <c r="B20" s="72" t="s">
        <v>110</v>
      </c>
      <c r="C20" s="75" t="s">
        <v>106</v>
      </c>
      <c r="D20" s="76">
        <f>D17/D18</f>
        <v>1.7131782945736465</v>
      </c>
      <c r="G20" s="2" t="s">
        <v>68</v>
      </c>
      <c r="H20" s="3" t="s">
        <v>10</v>
      </c>
      <c r="I20" s="4">
        <f>D9</f>
        <v>11</v>
      </c>
      <c r="J20" s="13">
        <f>E9</f>
        <v>8</v>
      </c>
      <c r="K20" s="14">
        <f>(D9+E9)/2</f>
        <v>9.5</v>
      </c>
    </row>
    <row r="21" spans="2:11" ht="7.5" customHeight="1" x14ac:dyDescent="0.25"/>
    <row r="22" spans="2:11" ht="19.5" customHeight="1" x14ac:dyDescent="0.25">
      <c r="B22" s="56" t="s">
        <v>108</v>
      </c>
      <c r="G22" s="61" t="s">
        <v>25</v>
      </c>
      <c r="H22" s="61"/>
      <c r="I22" s="61"/>
      <c r="J22" s="61"/>
      <c r="K22" s="61"/>
    </row>
    <row r="23" spans="2:11" ht="21.75" customHeight="1" x14ac:dyDescent="0.25">
      <c r="G23" s="5" t="s">
        <v>69</v>
      </c>
      <c r="H23" s="6" t="s">
        <v>27</v>
      </c>
      <c r="I23" s="15">
        <f>SUM(I16:I20)</f>
        <v>42.485281374238568</v>
      </c>
      <c r="J23" s="16">
        <f>SUM(J16:J20)</f>
        <v>31.403124237432849</v>
      </c>
      <c r="K23" s="17">
        <f>SUM(K16:K20)</f>
        <v>36.933034373659254</v>
      </c>
    </row>
    <row r="24" spans="2:11" ht="12.75" customHeight="1" x14ac:dyDescent="0.25">
      <c r="I24" s="8" t="s">
        <v>53</v>
      </c>
      <c r="J24" s="8" t="s">
        <v>53</v>
      </c>
      <c r="K24" s="8" t="s">
        <v>53</v>
      </c>
    </row>
    <row r="25" spans="2:11" ht="21.75" customHeight="1" x14ac:dyDescent="0.25">
      <c r="G25" s="38" t="s">
        <v>105</v>
      </c>
      <c r="H25" s="6" t="s">
        <v>28</v>
      </c>
      <c r="I25" s="15">
        <f>D7*D9-(D7-D8)*(D9-D10)/2</f>
        <v>114</v>
      </c>
      <c r="J25" s="16">
        <f>E7*E9-(E7-E8)*(E9-E10)/2</f>
        <v>62</v>
      </c>
      <c r="K25" s="17">
        <f>((D7+E7)/2)*((D9+E9)/2)-(((D7+E7)/2-(D8+E8)/2)*((D9+E9)/2-(D10+E10)/2))/2</f>
        <v>86</v>
      </c>
    </row>
    <row r="26" spans="2:11" ht="12.75" customHeight="1" x14ac:dyDescent="0.25">
      <c r="I26" s="8" t="s">
        <v>54</v>
      </c>
      <c r="J26" s="8" t="s">
        <v>54</v>
      </c>
      <c r="K26" s="8" t="s">
        <v>54</v>
      </c>
    </row>
    <row r="27" spans="2:11" ht="7.5" customHeight="1" x14ac:dyDescent="0.25"/>
    <row r="28" spans="2:11" ht="19.5" customHeight="1" x14ac:dyDescent="0.25">
      <c r="G28" s="61" t="s">
        <v>55</v>
      </c>
      <c r="H28" s="61"/>
      <c r="I28" s="61"/>
      <c r="J28" s="61"/>
      <c r="K28" s="61"/>
    </row>
    <row r="29" spans="2:11" ht="21.75" customHeight="1" x14ac:dyDescent="0.25">
      <c r="G29" s="5" t="s">
        <v>31</v>
      </c>
      <c r="H29" s="62" t="s">
        <v>56</v>
      </c>
      <c r="I29" s="62"/>
      <c r="J29" s="62"/>
      <c r="K29" s="7">
        <f>(D11/6)*(I25+J25+4*K25)</f>
        <v>2946.666666666667</v>
      </c>
    </row>
    <row r="30" spans="2:11" ht="21.75" customHeight="1" x14ac:dyDescent="0.25">
      <c r="G30" s="5" t="s">
        <v>33</v>
      </c>
      <c r="H30" s="62" t="s">
        <v>34</v>
      </c>
      <c r="I30" s="62"/>
      <c r="J30" s="62"/>
      <c r="K30" s="7">
        <f>K29/231</f>
        <v>12.756132756132757</v>
      </c>
    </row>
    <row r="31" spans="2:11" ht="12.75" customHeight="1" x14ac:dyDescent="0.25">
      <c r="K31" s="8" t="s">
        <v>35</v>
      </c>
    </row>
    <row r="32" spans="2:11" ht="7.5" customHeight="1" x14ac:dyDescent="0.25"/>
    <row r="33" spans="2:11" ht="18" customHeight="1" x14ac:dyDescent="0.25">
      <c r="B33" s="63" t="s">
        <v>36</v>
      </c>
      <c r="C33" s="63"/>
      <c r="D33" s="63"/>
      <c r="E33" s="63"/>
      <c r="F33" s="63"/>
      <c r="G33" s="63"/>
      <c r="H33" s="63"/>
      <c r="I33" s="63"/>
      <c r="J33" s="63"/>
      <c r="K33" s="63"/>
    </row>
    <row r="34" spans="2:11" ht="15.75" customHeight="1" x14ac:dyDescent="0.25">
      <c r="B34" s="57" t="s">
        <v>76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ht="15.75" customHeight="1" x14ac:dyDescent="0.25">
      <c r="B35" s="57" t="s">
        <v>77</v>
      </c>
      <c r="C35" s="57"/>
      <c r="D35" s="57"/>
      <c r="E35" s="57"/>
      <c r="F35" s="57"/>
      <c r="G35" s="57"/>
      <c r="H35" s="57"/>
      <c r="I35" s="57"/>
      <c r="J35" s="57"/>
      <c r="K35" s="57"/>
    </row>
    <row r="36" spans="2:11" ht="15.75" customHeight="1" x14ac:dyDescent="0.25">
      <c r="B36" s="57" t="s">
        <v>78</v>
      </c>
      <c r="C36" s="57"/>
      <c r="D36" s="57"/>
      <c r="E36" s="57"/>
      <c r="F36" s="57"/>
      <c r="G36" s="57"/>
      <c r="H36" s="57"/>
      <c r="I36" s="57"/>
      <c r="J36" s="57"/>
      <c r="K36" s="57"/>
    </row>
    <row r="37" spans="2:11" ht="15.75" customHeight="1" x14ac:dyDescent="0.25">
      <c r="B37" s="57" t="s">
        <v>79</v>
      </c>
      <c r="C37" s="57"/>
      <c r="D37" s="57"/>
      <c r="E37" s="57"/>
      <c r="F37" s="57"/>
      <c r="G37" s="57"/>
      <c r="H37" s="57"/>
      <c r="I37" s="57"/>
      <c r="J37" s="57"/>
      <c r="K37" s="57"/>
    </row>
    <row r="38" spans="2:11" ht="15.75" customHeight="1" x14ac:dyDescent="0.25">
      <c r="B38" s="57" t="s">
        <v>61</v>
      </c>
      <c r="C38" s="57"/>
      <c r="D38" s="57"/>
      <c r="E38" s="57"/>
      <c r="F38" s="57"/>
      <c r="G38" s="57"/>
      <c r="H38" s="57"/>
      <c r="I38" s="57"/>
      <c r="J38" s="57"/>
      <c r="K38" s="57"/>
    </row>
    <row r="39" spans="2:11" ht="15.75" customHeight="1" x14ac:dyDescent="0.25">
      <c r="B39" s="57" t="s">
        <v>80</v>
      </c>
      <c r="C39" s="57"/>
      <c r="D39" s="57"/>
      <c r="E39" s="57"/>
      <c r="F39" s="57"/>
      <c r="G39" s="57"/>
      <c r="H39" s="57"/>
      <c r="I39" s="57"/>
      <c r="J39" s="57"/>
      <c r="K39" s="57"/>
    </row>
    <row r="40" spans="2:11" ht="15.75" customHeight="1" x14ac:dyDescent="0.25">
      <c r="B40" s="57" t="s">
        <v>81</v>
      </c>
      <c r="C40" s="57"/>
      <c r="D40" s="57"/>
      <c r="E40" s="57"/>
      <c r="F40" s="57"/>
      <c r="G40" s="57"/>
      <c r="H40" s="57"/>
      <c r="I40" s="57"/>
      <c r="J40" s="57"/>
      <c r="K40" s="57"/>
    </row>
  </sheetData>
  <mergeCells count="17">
    <mergeCell ref="B2:K2"/>
    <mergeCell ref="B3:K3"/>
    <mergeCell ref="B4:E4"/>
    <mergeCell ref="D11:E11"/>
    <mergeCell ref="G14:K14"/>
    <mergeCell ref="G22:K22"/>
    <mergeCell ref="G28:K28"/>
    <mergeCell ref="H29:J29"/>
    <mergeCell ref="H30:J30"/>
    <mergeCell ref="B33:K33"/>
    <mergeCell ref="B39:K39"/>
    <mergeCell ref="B40:K40"/>
    <mergeCell ref="B34:K34"/>
    <mergeCell ref="B35:K35"/>
    <mergeCell ref="B36:K36"/>
    <mergeCell ref="B37:K37"/>
    <mergeCell ref="B38:K3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D3C98"/>
  </sheetPr>
  <dimension ref="B1:H26"/>
  <sheetViews>
    <sheetView zoomScaleNormal="100" workbookViewId="0">
      <selection activeCell="G27" sqref="G27"/>
    </sheetView>
  </sheetViews>
  <sheetFormatPr defaultColWidth="8.7109375" defaultRowHeight="15" x14ac:dyDescent="0.25"/>
  <cols>
    <col min="1" max="1" width="3" customWidth="1"/>
    <col min="2" max="2" width="31" customWidth="1"/>
    <col min="3" max="3" width="9" customWidth="1"/>
    <col min="4" max="4" width="16" customWidth="1"/>
    <col min="5" max="5" width="3" customWidth="1"/>
    <col min="6" max="6" width="28" customWidth="1"/>
    <col min="7" max="7" width="12" customWidth="1"/>
    <col min="8" max="8" width="16" customWidth="1"/>
    <col min="9" max="9" width="3" customWidth="1"/>
  </cols>
  <sheetData>
    <row r="1" spans="2:8" ht="7.5" customHeight="1" x14ac:dyDescent="0.25"/>
    <row r="2" spans="2:8" ht="36" customHeight="1" x14ac:dyDescent="0.25">
      <c r="B2" s="59" t="s">
        <v>82</v>
      </c>
      <c r="C2" s="59"/>
      <c r="D2" s="59"/>
      <c r="E2" s="59"/>
      <c r="F2" s="59"/>
      <c r="G2" s="59"/>
      <c r="H2" s="59"/>
    </row>
    <row r="3" spans="2:8" ht="7.5" customHeight="1" x14ac:dyDescent="0.25"/>
    <row r="4" spans="2:8" ht="19.5" customHeight="1" x14ac:dyDescent="0.25">
      <c r="B4" s="60" t="s">
        <v>1</v>
      </c>
      <c r="C4" s="60"/>
      <c r="D4" s="60"/>
    </row>
    <row r="5" spans="2:8" ht="18" customHeight="1" x14ac:dyDescent="0.25">
      <c r="B5" s="1" t="s">
        <v>2</v>
      </c>
      <c r="C5" s="1" t="s">
        <v>3</v>
      </c>
      <c r="D5" s="1" t="s">
        <v>4</v>
      </c>
    </row>
    <row r="7" spans="2:8" ht="19.5" customHeight="1" x14ac:dyDescent="0.25">
      <c r="B7" s="2" t="s">
        <v>83</v>
      </c>
      <c r="C7" s="3" t="s">
        <v>84</v>
      </c>
      <c r="D7" s="22">
        <v>31</v>
      </c>
    </row>
    <row r="8" spans="2:8" ht="19.5" customHeight="1" x14ac:dyDescent="0.25">
      <c r="B8" s="2" t="s">
        <v>85</v>
      </c>
      <c r="C8" s="3" t="s">
        <v>6</v>
      </c>
      <c r="D8" s="22">
        <v>19</v>
      </c>
    </row>
    <row r="9" spans="2:8" ht="19.5" customHeight="1" x14ac:dyDescent="0.25">
      <c r="B9" s="2" t="s">
        <v>86</v>
      </c>
      <c r="C9" s="3" t="s">
        <v>87</v>
      </c>
      <c r="D9" s="22">
        <v>11</v>
      </c>
    </row>
    <row r="10" spans="2:8" x14ac:dyDescent="0.25">
      <c r="B10" s="36" t="s">
        <v>98</v>
      </c>
      <c r="C10" s="37" t="s">
        <v>99</v>
      </c>
      <c r="D10" s="45">
        <v>0.09</v>
      </c>
    </row>
    <row r="11" spans="2:8" ht="7.5" customHeight="1" x14ac:dyDescent="0.25"/>
    <row r="12" spans="2:8" ht="19.5" customHeight="1" x14ac:dyDescent="0.25">
      <c r="B12" s="23"/>
      <c r="D12" s="25" t="s">
        <v>100</v>
      </c>
      <c r="F12" s="61" t="s">
        <v>25</v>
      </c>
      <c r="G12" s="61"/>
      <c r="H12" s="61"/>
    </row>
    <row r="13" spans="2:8" ht="21.75" customHeight="1" x14ac:dyDescent="0.35">
      <c r="B13" s="26" t="s">
        <v>102</v>
      </c>
      <c r="C13" s="27"/>
      <c r="D13" s="77">
        <f>H15*95%</f>
        <v>26.645238095238092</v>
      </c>
      <c r="F13" s="5" t="s">
        <v>88</v>
      </c>
      <c r="G13" s="6" t="s">
        <v>89</v>
      </c>
      <c r="H13" s="7">
        <f>2*(D7*D8+D7*D9+D8*D9)</f>
        <v>2278</v>
      </c>
    </row>
    <row r="14" spans="2:8" ht="21.75" customHeight="1" thickBot="1" x14ac:dyDescent="0.3">
      <c r="B14" s="47" t="s">
        <v>103</v>
      </c>
      <c r="C14" s="48"/>
      <c r="D14" s="49"/>
      <c r="F14" s="5" t="s">
        <v>31</v>
      </c>
      <c r="G14" s="6" t="s">
        <v>90</v>
      </c>
      <c r="H14" s="7">
        <f>D7*D8*D9</f>
        <v>6479</v>
      </c>
    </row>
    <row r="15" spans="2:8" ht="21.75" customHeight="1" thickBot="1" x14ac:dyDescent="0.3">
      <c r="B15" s="50" t="s">
        <v>104</v>
      </c>
      <c r="C15" s="51" t="s">
        <v>100</v>
      </c>
      <c r="D15" s="52">
        <f>H15-D13</f>
        <v>1.4023809523809554</v>
      </c>
      <c r="F15" s="5" t="s">
        <v>33</v>
      </c>
      <c r="G15" s="6" t="s">
        <v>90</v>
      </c>
      <c r="H15" s="7">
        <f>D7*D8*D9/231</f>
        <v>28.047619047619047</v>
      </c>
    </row>
    <row r="16" spans="2:8" ht="21.75" customHeight="1" thickBot="1" x14ac:dyDescent="0.3">
      <c r="B16" s="50" t="s">
        <v>101</v>
      </c>
      <c r="C16" s="51" t="s">
        <v>106</v>
      </c>
      <c r="D16" s="40">
        <f>(H17*1)/231</f>
        <v>2.5109627705627706</v>
      </c>
      <c r="F16" s="42"/>
      <c r="G16" s="43"/>
      <c r="H16" s="8" t="s">
        <v>91</v>
      </c>
    </row>
    <row r="17" spans="2:8" ht="17.25" customHeight="1" thickBot="1" x14ac:dyDescent="0.3">
      <c r="F17" s="38" t="s">
        <v>105</v>
      </c>
      <c r="G17" s="44" t="s">
        <v>107</v>
      </c>
      <c r="H17" s="46">
        <f>(D7-D10*2)*(D8-D10*2)</f>
        <v>580.03240000000005</v>
      </c>
    </row>
    <row r="18" spans="2:8" ht="17.25" customHeight="1" x14ac:dyDescent="0.35">
      <c r="B18" s="72" t="s">
        <v>110</v>
      </c>
      <c r="C18" s="75" t="s">
        <v>106</v>
      </c>
      <c r="D18" s="76">
        <f>D15/D16</f>
        <v>0.55850328360967538</v>
      </c>
      <c r="F18" s="68"/>
      <c r="G18" s="69"/>
      <c r="H18" s="70"/>
    </row>
    <row r="19" spans="2:8" ht="17.25" customHeight="1" x14ac:dyDescent="0.25">
      <c r="F19" s="68"/>
      <c r="G19" s="69"/>
      <c r="H19" s="70"/>
    </row>
    <row r="20" spans="2:8" ht="17.25" customHeight="1" x14ac:dyDescent="0.25">
      <c r="B20" s="56" t="s">
        <v>108</v>
      </c>
      <c r="F20" s="68"/>
      <c r="G20" s="69"/>
      <c r="H20" s="70"/>
    </row>
    <row r="21" spans="2:8" ht="7.5" customHeight="1" x14ac:dyDescent="0.25"/>
    <row r="22" spans="2:8" ht="18" customHeight="1" x14ac:dyDescent="0.25">
      <c r="B22" s="63" t="s">
        <v>36</v>
      </c>
      <c r="C22" s="63"/>
      <c r="D22" s="63"/>
      <c r="E22" s="63"/>
      <c r="F22" s="63"/>
      <c r="G22" s="63"/>
      <c r="H22" s="63"/>
    </row>
    <row r="23" spans="2:8" ht="15.75" customHeight="1" x14ac:dyDescent="0.25">
      <c r="B23" s="57" t="s">
        <v>92</v>
      </c>
      <c r="C23" s="57"/>
      <c r="D23" s="57"/>
      <c r="E23" s="57"/>
      <c r="F23" s="57"/>
      <c r="G23" s="57"/>
      <c r="H23" s="57"/>
    </row>
    <row r="24" spans="2:8" ht="15.75" customHeight="1" x14ac:dyDescent="0.25">
      <c r="B24" s="57" t="s">
        <v>93</v>
      </c>
      <c r="C24" s="57"/>
      <c r="D24" s="57"/>
      <c r="E24" s="57"/>
      <c r="F24" s="57"/>
      <c r="G24" s="57"/>
      <c r="H24" s="57"/>
    </row>
    <row r="25" spans="2:8" ht="15.75" customHeight="1" x14ac:dyDescent="0.25">
      <c r="B25" s="57" t="s">
        <v>94</v>
      </c>
      <c r="C25" s="57"/>
      <c r="D25" s="57"/>
      <c r="E25" s="57"/>
      <c r="F25" s="57"/>
      <c r="G25" s="57"/>
      <c r="H25" s="57"/>
    </row>
    <row r="26" spans="2:8" ht="15.75" customHeight="1" x14ac:dyDescent="0.25">
      <c r="B26" s="57" t="s">
        <v>41</v>
      </c>
      <c r="C26" s="57"/>
      <c r="D26" s="57"/>
      <c r="E26" s="57"/>
      <c r="F26" s="57"/>
      <c r="G26" s="57"/>
      <c r="H26" s="57"/>
    </row>
  </sheetData>
  <mergeCells count="8">
    <mergeCell ref="B24:H24"/>
    <mergeCell ref="B25:H25"/>
    <mergeCell ref="B26:H26"/>
    <mergeCell ref="B2:H2"/>
    <mergeCell ref="B4:D4"/>
    <mergeCell ref="F12:H12"/>
    <mergeCell ref="B22:H22"/>
    <mergeCell ref="B23:H23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Belly Tank</vt:lpstr>
      <vt:lpstr>Tapered Belly Tank</vt:lpstr>
      <vt:lpstr>Saddle Port Tank</vt:lpstr>
      <vt:lpstr>Tapered Saddle Port Tank</vt:lpstr>
      <vt:lpstr>Rectangular Tank</vt:lpstr>
    </vt:vector>
  </TitlesOfParts>
  <Company>chriis j brown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Tank Volume Generator</dc:title>
  <dc:subject>EPA Compliance</dc:subject>
  <dc:creator>Chris J Brown</dc:creator>
  <dc:description>Questions (321) 749-7759</dc:description>
  <cp:lastModifiedBy>Chris Brown</cp:lastModifiedBy>
  <cp:revision>2</cp:revision>
  <dcterms:created xsi:type="dcterms:W3CDTF">2026-05-11T13:56:50Z</dcterms:created>
  <dcterms:modified xsi:type="dcterms:W3CDTF">2026-05-12T18:06:20Z</dcterms:modified>
  <cp:category>Marine Sector</cp:category>
  <dc:language>en-US</dc:language>
</cp:coreProperties>
</file>